
<file path=[Content_Types].xml><?xml version="1.0" encoding="utf-8"?>
<Types xmlns="http://schemas.openxmlformats.org/package/2006/content-types">
  <Override PartName="/xl/activeX/activeX4.bin" ContentType="application/vnd.ms-office.activeX"/>
  <Override PartName="/xl/activeX/activeX9.xml" ContentType="application/vnd.ms-office.activeX+xml"/>
  <Override PartName="/xl/activeX/activeX25.bin" ContentType="application/vnd.ms-office.activeX"/>
  <Override PartName="/xl/activeX/activeX43.bin" ContentType="application/vnd.ms-office.activeX"/>
  <Override PartName="/xl/styles.xml" ContentType="application/vnd.openxmlformats-officedocument.spreadsheetml.styles+xml"/>
  <Override PartName="/xl/activeX/activeX14.bin" ContentType="application/vnd.ms-office.activeX"/>
  <Override PartName="/xl/activeX/activeX19.xml" ContentType="application/vnd.ms-office.activeX+xml"/>
  <Override PartName="/xl/activeX/activeX32.bin" ContentType="application/vnd.ms-office.activeX"/>
  <Override PartName="/xl/activeX/activeX48.xml" ContentType="application/vnd.ms-office.activeX+xml"/>
  <Override PartName="/xl/worksheets/sheet7.xml" ContentType="application/vnd.openxmlformats-officedocument.spreadsheetml.worksheet+xml"/>
  <Override PartName="/xl/activeX/activeX5.xml" ContentType="application/vnd.ms-office.activeX+xml"/>
  <Override PartName="/xl/activeX/activeX21.bin" ContentType="application/vnd.ms-office.activeX"/>
  <Override PartName="/xl/activeX/activeX37.xml" ContentType="application/vnd.ms-office.activeX+xml"/>
  <Default Extension="xml" ContentType="application/xml"/>
  <Override PartName="/xl/activeX/activeX10.bin" ContentType="application/vnd.ms-office.activeX"/>
  <Override PartName="/xl/activeX/activeX15.xml" ContentType="application/vnd.ms-office.activeX+xml"/>
  <Override PartName="/xl/activeX/activeX26.xml" ContentType="application/vnd.ms-office.activeX+xml"/>
  <Override PartName="/xl/activeX/activeX44.xml" ContentType="application/vnd.ms-office.activeX+xml"/>
  <Override PartName="/xl/worksheets/sheet3.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22.xml" ContentType="application/vnd.ms-office.activeX+xml"/>
  <Override PartName="/xl/activeX/activeX33.xml" ContentType="application/vnd.ms-office.activeX+xml"/>
  <Override PartName="/xl/activeX/activeX42.xml" ContentType="application/vnd.ms-office.activeX+xml"/>
  <Override PartName="/xl/worksheets/sheet1.xml" ContentType="application/vnd.openxmlformats-officedocument.spreadsheetml.worksheet+xml"/>
  <Override PartName="/xl/activeX/activeX9.bin" ContentType="application/vnd.ms-office.activeX"/>
  <Override PartName="/xl/activeX/activeX11.xml" ContentType="application/vnd.ms-office.activeX+xml"/>
  <Override PartName="/xl/activeX/activeX20.xml" ContentType="application/vnd.ms-office.activeX+xml"/>
  <Override PartName="/xl/activeX/activeX31.xml" ContentType="application/vnd.ms-office.activeX+xml"/>
  <Override PartName="/xl/activeX/activeX40.xml" ContentType="application/vnd.ms-office.activeX+xml"/>
  <Override PartName="/xl/sharedStrings.xml" ContentType="application/vnd.openxmlformats-officedocument.spreadsheetml.sharedStrings+xml"/>
  <Override PartName="/xl/activeX/activeX7.bin" ContentType="application/vnd.ms-office.activeX"/>
  <Override PartName="/xl/activeX/activeX19.bin" ContentType="application/vnd.ms-office.activeX"/>
  <Override PartName="/xl/activeX/activeX39.bin" ContentType="application/vnd.ms-office.activeX"/>
  <Override PartName="/xl/activeX/activeX48.bin" ContentType="application/vnd.ms-office.activeX"/>
  <Override PartName="/xl/activeX/activeX5.bin" ContentType="application/vnd.ms-office.activeX"/>
  <Override PartName="/xl/activeX/activeX17.bin" ContentType="application/vnd.ms-office.activeX"/>
  <Override PartName="/xl/activeX/activeX28.bin" ContentType="application/vnd.ms-office.activeX"/>
  <Override PartName="/xl/activeX/activeX37.bin" ContentType="application/vnd.ms-office.activeX"/>
  <Override PartName="/xl/activeX/activeX46.bin" ContentType="application/vnd.ms-office.activeX"/>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26.bin" ContentType="application/vnd.ms-office.activeX"/>
  <Override PartName="/xl/activeX/activeX35.bin" ContentType="application/vnd.ms-office.activeX"/>
  <Override PartName="/xl/activeX/activeX44.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Override PartName="/xl/activeX/activeX22.bin" ContentType="application/vnd.ms-office.activeX"/>
  <Override PartName="/xl/activeX/activeX24.bin" ContentType="application/vnd.ms-office.activeX"/>
  <Override PartName="/xl/activeX/activeX29.xml" ContentType="application/vnd.ms-office.activeX+xml"/>
  <Override PartName="/xl/activeX/activeX33.bin" ContentType="application/vnd.ms-office.activeX"/>
  <Override PartName="/xl/activeX/activeX38.xml" ContentType="application/vnd.ms-office.activeX+xml"/>
  <Override PartName="/xl/activeX/activeX42.bin" ContentType="application/vnd.ms-office.activeX"/>
  <Override PartName="/xl/activeX/activeX47.xml" ContentType="application/vnd.ms-office.activeX+xml"/>
  <Override PartName="/xl/worksheets/sheet6.xml" ContentType="application/vnd.openxmlformats-officedocument.spreadsheetml.worksheet+xml"/>
  <Override PartName="/xl/worksheets/sheet8.xml" ContentType="application/vnd.openxmlformats-officedocument.spreadsheetml.worksheet+xml"/>
  <Override PartName="/xl/activeX/activeX6.xml" ContentType="application/vnd.ms-office.activeX+xml"/>
  <Override PartName="/xl/activeX/activeX11.bin" ContentType="application/vnd.ms-office.activeX"/>
  <Override PartName="/xl/activeX/activeX18.xml" ContentType="application/vnd.ms-office.activeX+xml"/>
  <Override PartName="/xl/activeX/activeX20.bin" ContentType="application/vnd.ms-office.activeX"/>
  <Override PartName="/xl/activeX/activeX27.xml" ContentType="application/vnd.ms-office.activeX+xml"/>
  <Override PartName="/xl/activeX/activeX31.bin" ContentType="application/vnd.ms-office.activeX"/>
  <Override PartName="/xl/activeX/activeX36.xml" ContentType="application/vnd.ms-office.activeX+xml"/>
  <Override PartName="/xl/activeX/activeX40.bin" ContentType="application/vnd.ms-office.activeX"/>
  <Override PartName="/xl/activeX/activeX45.xml" ContentType="application/vnd.ms-office.activeX+xml"/>
  <Default Extension="emf" ContentType="image/x-emf"/>
  <Override PartName="/xl/workbook.xml" ContentType="application/vnd.openxmlformats-officedocument.spreadsheetml.sheet.main+xml"/>
  <Override PartName="/xl/worksheets/sheet4.xml" ContentType="application/vnd.openxmlformats-officedocument.spreadsheetml.worksheet+xml"/>
  <Override PartName="/xl/activeX/activeX2.xml" ContentType="application/vnd.ms-office.activeX+xml"/>
  <Override PartName="/xl/activeX/activeX4.xml" ContentType="application/vnd.ms-office.activeX+xml"/>
  <Override PartName="/xl/activeX/activeX16.xml" ContentType="application/vnd.ms-office.activeX+xml"/>
  <Override PartName="/xl/activeX/activeX25.xml" ContentType="application/vnd.ms-office.activeX+xml"/>
  <Override PartName="/xl/activeX/activeX34.xml" ContentType="application/vnd.ms-office.activeX+xml"/>
  <Override PartName="/xl/activeX/activeX43.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4.xml" ContentType="application/vnd.ms-office.activeX+xml"/>
  <Override PartName="/xl/activeX/activeX23.xml" ContentType="application/vnd.ms-office.activeX+xml"/>
  <Override PartName="/xl/activeX/activeX32.xml" ContentType="application/vnd.ms-office.activeX+xml"/>
  <Override PartName="/xl/activeX/activeX41.xml" ContentType="application/vnd.ms-office.activeX+xml"/>
  <Default Extension="vml" ContentType="application/vnd.openxmlformats-officedocument.vmlDrawing"/>
  <Override PartName="/xl/activeX/activeX12.xml" ContentType="application/vnd.ms-office.activeX+xml"/>
  <Override PartName="/xl/activeX/activeX21.xml" ContentType="application/vnd.ms-office.activeX+xml"/>
  <Override PartName="/xl/activeX/activeX30.xml" ContentType="application/vnd.ms-office.activeX+xml"/>
  <Override PartName="/xl/calcChain.xml" ContentType="application/vnd.openxmlformats-officedocument.spreadsheetml.calcChain+xml"/>
  <Override PartName="/xl/activeX/activeX8.bin" ContentType="application/vnd.ms-office.activeX"/>
  <Override PartName="/xl/activeX/activeX10.xml" ContentType="application/vnd.ms-office.activeX+xml"/>
  <Override PartName="/xl/activeX/activeX29.bin" ContentType="application/vnd.ms-office.activeX"/>
  <Override PartName="/xl/activeX/activeX38.bin" ContentType="application/vnd.ms-office.activeX"/>
  <Override PartName="/xl/activeX/activeX6.bin" ContentType="application/vnd.ms-office.activeX"/>
  <Override PartName="/xl/activeX/activeX18.bin" ContentType="application/vnd.ms-office.activeX"/>
  <Override PartName="/xl/activeX/activeX27.bin" ContentType="application/vnd.ms-office.activeX"/>
  <Override PartName="/xl/activeX/activeX36.bin" ContentType="application/vnd.ms-office.activeX"/>
  <Override PartName="/xl/activeX/activeX45.bin" ContentType="application/vnd.ms-office.activeX"/>
  <Override PartName="/xl/activeX/activeX47.bin" ContentType="application/vnd.ms-office.activeX"/>
  <Override PartName="/docProps/core.xml" ContentType="application/vnd.openxmlformats-package.core-properties+xml"/>
  <Override PartName="/xl/activeX/activeX2.bin" ContentType="application/vnd.ms-office.activeX"/>
  <Override PartName="/xl/activeX/activeX16.bin" ContentType="application/vnd.ms-office.activeX"/>
  <Override PartName="/xl/activeX/activeX34.bin" ContentType="application/vnd.ms-office.activeX"/>
  <Override PartName="/xl/theme/theme1.xml" ContentType="application/vnd.openxmlformats-officedocument.theme+xml"/>
  <Override PartName="/xl/activeX/activeX7.xml" ContentType="application/vnd.ms-office.activeX+xml"/>
  <Override PartName="/xl/activeX/activeX23.bin" ContentType="application/vnd.ms-office.activeX"/>
  <Override PartName="/xl/activeX/activeX39.xml" ContentType="application/vnd.ms-office.activeX+xml"/>
  <Override PartName="/xl/activeX/activeX41.bin" ContentType="application/vnd.ms-office.activeX"/>
  <Override PartName="/xl/activeX/activeX12.bin" ContentType="application/vnd.ms-office.activeX"/>
  <Override PartName="/xl/activeX/activeX17.xml" ContentType="application/vnd.ms-office.activeX+xml"/>
  <Override PartName="/xl/activeX/activeX28.xml" ContentType="application/vnd.ms-office.activeX+xml"/>
  <Override PartName="/xl/activeX/activeX30.bin" ContentType="application/vnd.ms-office.activeX"/>
  <Override PartName="/xl/activeX/activeX46.xml" ContentType="application/vnd.ms-office.activeX+xml"/>
  <Default Extension="rels" ContentType="application/vnd.openxmlformats-package.relationships+xml"/>
  <Override PartName="/xl/worksheets/sheet5.xml" ContentType="application/vnd.openxmlformats-officedocument.spreadsheetml.worksheet+xml"/>
  <Override PartName="/xl/activeX/activeX3.xml" ContentType="application/vnd.ms-office.activeX+xml"/>
  <Override PartName="/xl/activeX/activeX24.xml" ContentType="application/vnd.ms-office.activeX+xml"/>
  <Override PartName="/xl/activeX/activeX3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135" yWindow="225" windowWidth="15480" windowHeight="8505"/>
  </bookViews>
  <sheets>
    <sheet name="Summary" sheetId="1" r:id="rId1"/>
    <sheet name="Step 0 - Dwell Time" sheetId="9" r:id="rId2"/>
    <sheet name="Step 1 - Capacity" sheetId="5" r:id="rId3"/>
    <sheet name="Step 2 - Skip-Stops" sheetId="7" r:id="rId4"/>
    <sheet name="Step 3 - Speed" sheetId="8" r:id="rId5"/>
    <sheet name="Default Values" sheetId="11" r:id="rId6"/>
    <sheet name="Lookup" sheetId="2" state="hidden" r:id="rId7"/>
    <sheet name="Revision History" sheetId="10" r:id="rId8"/>
  </sheets>
  <definedNames>
    <definedName name="BusStopLocationFactors">Lookup!$A$30:$D$33</definedName>
    <definedName name="CriticalHeadway">'Default Values'!$C$1</definedName>
    <definedName name="FollowUpTime">'Default Values'!$C$2</definedName>
    <definedName name="SatFlowRates">Lookup!$A$2:$B$5</definedName>
    <definedName name="StartUpTime">'Default Values'!$C$3</definedName>
    <definedName name="StopLocation">Lookup!$R$39:$R$42</definedName>
  </definedNames>
  <calcPr calcId="125725"/>
</workbook>
</file>

<file path=xl/calcChain.xml><?xml version="1.0" encoding="utf-8"?>
<calcChain xmlns="http://schemas.openxmlformats.org/spreadsheetml/2006/main">
  <c r="E15" i="7"/>
  <c r="E18" i="8"/>
  <c r="F18"/>
  <c r="F19"/>
  <c r="F20" i="7" l="1"/>
  <c r="F19"/>
  <c r="E20"/>
  <c r="E19"/>
  <c r="X104" i="9" l="1"/>
  <c r="W104"/>
  <c r="V104"/>
  <c r="U104"/>
  <c r="T104"/>
  <c r="S104"/>
  <c r="R104"/>
  <c r="Q104"/>
  <c r="P104"/>
  <c r="O104"/>
  <c r="N104"/>
  <c r="M104"/>
  <c r="L104"/>
  <c r="K104"/>
  <c r="J104"/>
  <c r="I104"/>
  <c r="H104"/>
  <c r="G104"/>
  <c r="F104"/>
  <c r="E104"/>
  <c r="X103"/>
  <c r="W103"/>
  <c r="V103"/>
  <c r="U103"/>
  <c r="T103"/>
  <c r="S103"/>
  <c r="R103"/>
  <c r="Q103"/>
  <c r="P103"/>
  <c r="O103"/>
  <c r="N103"/>
  <c r="M103"/>
  <c r="X94"/>
  <c r="W94"/>
  <c r="V94"/>
  <c r="U94"/>
  <c r="T94"/>
  <c r="S94"/>
  <c r="R94"/>
  <c r="Q94"/>
  <c r="P94"/>
  <c r="O94"/>
  <c r="N94"/>
  <c r="M94"/>
  <c r="L94"/>
  <c r="K94"/>
  <c r="J94"/>
  <c r="I94"/>
  <c r="H94"/>
  <c r="G94"/>
  <c r="F94"/>
  <c r="E94"/>
  <c r="X93"/>
  <c r="W93"/>
  <c r="V93"/>
  <c r="U93"/>
  <c r="T93"/>
  <c r="S93"/>
  <c r="R93"/>
  <c r="Q93"/>
  <c r="P93"/>
  <c r="O93"/>
  <c r="N93"/>
  <c r="M93"/>
  <c r="X92"/>
  <c r="W92"/>
  <c r="V92"/>
  <c r="U92"/>
  <c r="T92"/>
  <c r="S92"/>
  <c r="R92"/>
  <c r="Q92"/>
  <c r="P92"/>
  <c r="O92"/>
  <c r="N92"/>
  <c r="M92"/>
  <c r="X91"/>
  <c r="W91"/>
  <c r="V91"/>
  <c r="U91"/>
  <c r="T91"/>
  <c r="S91"/>
  <c r="R91"/>
  <c r="Q91"/>
  <c r="P91"/>
  <c r="O91"/>
  <c r="N91"/>
  <c r="M91"/>
  <c r="X86"/>
  <c r="W86"/>
  <c r="V86"/>
  <c r="U86"/>
  <c r="T86"/>
  <c r="S86"/>
  <c r="R86"/>
  <c r="Q86"/>
  <c r="P86"/>
  <c r="O86"/>
  <c r="N86"/>
  <c r="M86"/>
  <c r="X84"/>
  <c r="W84"/>
  <c r="V84"/>
  <c r="U84"/>
  <c r="T84"/>
  <c r="S84"/>
  <c r="R84"/>
  <c r="Q84"/>
  <c r="P84"/>
  <c r="O84"/>
  <c r="N84"/>
  <c r="M84"/>
  <c r="L84"/>
  <c r="K84"/>
  <c r="J84"/>
  <c r="I84"/>
  <c r="H84"/>
  <c r="G84"/>
  <c r="F84"/>
  <c r="E84"/>
  <c r="X83"/>
  <c r="W83"/>
  <c r="V83"/>
  <c r="U83"/>
  <c r="T83"/>
  <c r="S83"/>
  <c r="R83"/>
  <c r="Q83"/>
  <c r="P83"/>
  <c r="O83"/>
  <c r="N83"/>
  <c r="M83"/>
  <c r="L83"/>
  <c r="K83"/>
  <c r="J83"/>
  <c r="I83"/>
  <c r="H83"/>
  <c r="G83"/>
  <c r="F83"/>
  <c r="E83"/>
  <c r="X82"/>
  <c r="W82"/>
  <c r="V82"/>
  <c r="U82"/>
  <c r="T82"/>
  <c r="S82"/>
  <c r="R82"/>
  <c r="Q82"/>
  <c r="P82"/>
  <c r="O82"/>
  <c r="N82"/>
  <c r="M82"/>
  <c r="L82"/>
  <c r="K82"/>
  <c r="J82"/>
  <c r="I82"/>
  <c r="H82"/>
  <c r="G82"/>
  <c r="F82"/>
  <c r="E82"/>
  <c r="X81"/>
  <c r="W81"/>
  <c r="V81"/>
  <c r="U81"/>
  <c r="T81"/>
  <c r="S81"/>
  <c r="R81"/>
  <c r="Q81"/>
  <c r="P81"/>
  <c r="O81"/>
  <c r="N81"/>
  <c r="M81"/>
  <c r="L81"/>
  <c r="K81"/>
  <c r="J81"/>
  <c r="I81"/>
  <c r="H81"/>
  <c r="G81"/>
  <c r="F81"/>
  <c r="E81"/>
  <c r="X80"/>
  <c r="X107" s="1"/>
  <c r="W80"/>
  <c r="W107" s="1"/>
  <c r="V80"/>
  <c r="V107" s="1"/>
  <c r="U80"/>
  <c r="U107" s="1"/>
  <c r="T80"/>
  <c r="T107" s="1"/>
  <c r="S80"/>
  <c r="S107" s="1"/>
  <c r="R80"/>
  <c r="R107" s="1"/>
  <c r="Q80"/>
  <c r="Q107" s="1"/>
  <c r="P80"/>
  <c r="P107" s="1"/>
  <c r="O80"/>
  <c r="O107" s="1"/>
  <c r="N80"/>
  <c r="N107" s="1"/>
  <c r="M80"/>
  <c r="M107" s="1"/>
  <c r="L80"/>
  <c r="K80"/>
  <c r="J80"/>
  <c r="I80"/>
  <c r="H80"/>
  <c r="G80"/>
  <c r="F80"/>
  <c r="E80"/>
  <c r="X79"/>
  <c r="W79"/>
  <c r="V79"/>
  <c r="U79"/>
  <c r="T79"/>
  <c r="S79"/>
  <c r="R79"/>
  <c r="Q79"/>
  <c r="P79"/>
  <c r="O79"/>
  <c r="N79"/>
  <c r="M79"/>
  <c r="L79"/>
  <c r="K79"/>
  <c r="J79"/>
  <c r="I79"/>
  <c r="H79"/>
  <c r="G79"/>
  <c r="F79"/>
  <c r="E79"/>
  <c r="X77"/>
  <c r="X101" s="1"/>
  <c r="W77"/>
  <c r="W101" s="1"/>
  <c r="V77"/>
  <c r="V101" s="1"/>
  <c r="U77"/>
  <c r="U101" s="1"/>
  <c r="T77"/>
  <c r="T101" s="1"/>
  <c r="S77"/>
  <c r="S101" s="1"/>
  <c r="R77"/>
  <c r="R101" s="1"/>
  <c r="Q77"/>
  <c r="Q101" s="1"/>
  <c r="P77"/>
  <c r="P101" s="1"/>
  <c r="O77"/>
  <c r="O101" s="1"/>
  <c r="N77"/>
  <c r="N101" s="1"/>
  <c r="M77"/>
  <c r="M101" s="1"/>
  <c r="L77"/>
  <c r="L101" s="1"/>
  <c r="K77"/>
  <c r="K101" s="1"/>
  <c r="J77"/>
  <c r="J101" s="1"/>
  <c r="I77"/>
  <c r="I101" s="1"/>
  <c r="H77"/>
  <c r="H101" s="1"/>
  <c r="G77"/>
  <c r="G101" s="1"/>
  <c r="F77"/>
  <c r="F101" s="1"/>
  <c r="E77"/>
  <c r="E101" s="1"/>
  <c r="X76"/>
  <c r="X100" s="1"/>
  <c r="W76"/>
  <c r="W100" s="1"/>
  <c r="V76"/>
  <c r="V100" s="1"/>
  <c r="U76"/>
  <c r="U100" s="1"/>
  <c r="T76"/>
  <c r="T100" s="1"/>
  <c r="S76"/>
  <c r="S100" s="1"/>
  <c r="R76"/>
  <c r="R100" s="1"/>
  <c r="Q76"/>
  <c r="Q100" s="1"/>
  <c r="P76"/>
  <c r="P100" s="1"/>
  <c r="O76"/>
  <c r="O100" s="1"/>
  <c r="N76"/>
  <c r="N100" s="1"/>
  <c r="M76"/>
  <c r="M100" s="1"/>
  <c r="L76"/>
  <c r="L100" s="1"/>
  <c r="K76"/>
  <c r="K100" s="1"/>
  <c r="J76"/>
  <c r="J100" s="1"/>
  <c r="I76"/>
  <c r="I100" s="1"/>
  <c r="H76"/>
  <c r="H100" s="1"/>
  <c r="G76"/>
  <c r="G100" s="1"/>
  <c r="F76"/>
  <c r="F100" s="1"/>
  <c r="E76"/>
  <c r="E100" s="1"/>
  <c r="X75"/>
  <c r="X99" s="1"/>
  <c r="W75"/>
  <c r="W99" s="1"/>
  <c r="V75"/>
  <c r="V99" s="1"/>
  <c r="U75"/>
  <c r="U99" s="1"/>
  <c r="T75"/>
  <c r="T99" s="1"/>
  <c r="S75"/>
  <c r="S99" s="1"/>
  <c r="R75"/>
  <c r="R99" s="1"/>
  <c r="Q75"/>
  <c r="Q99" s="1"/>
  <c r="P75"/>
  <c r="P99" s="1"/>
  <c r="O75"/>
  <c r="O89" s="1"/>
  <c r="N75"/>
  <c r="N99" s="1"/>
  <c r="M75"/>
  <c r="M99" s="1"/>
  <c r="L75"/>
  <c r="L99" s="1"/>
  <c r="K75"/>
  <c r="K89" s="1"/>
  <c r="J75"/>
  <c r="J99" s="1"/>
  <c r="I75"/>
  <c r="I99" s="1"/>
  <c r="H75"/>
  <c r="H99" s="1"/>
  <c r="G75"/>
  <c r="G99" s="1"/>
  <c r="F75"/>
  <c r="F99" s="1"/>
  <c r="E75"/>
  <c r="E99" s="1"/>
  <c r="X74"/>
  <c r="X98" s="1"/>
  <c r="W74"/>
  <c r="W98" s="1"/>
  <c r="V74"/>
  <c r="V98" s="1"/>
  <c r="U74"/>
  <c r="U98" s="1"/>
  <c r="T74"/>
  <c r="T98" s="1"/>
  <c r="S74"/>
  <c r="S88" s="1"/>
  <c r="R74"/>
  <c r="R98" s="1"/>
  <c r="Q74"/>
  <c r="Q98" s="1"/>
  <c r="P74"/>
  <c r="P98" s="1"/>
  <c r="O74"/>
  <c r="O88" s="1"/>
  <c r="N74"/>
  <c r="N98" s="1"/>
  <c r="M74"/>
  <c r="M98" s="1"/>
  <c r="X73"/>
  <c r="X97" s="1"/>
  <c r="W73"/>
  <c r="W87" s="1"/>
  <c r="V73"/>
  <c r="V97" s="1"/>
  <c r="U73"/>
  <c r="U97" s="1"/>
  <c r="T73"/>
  <c r="T97" s="1"/>
  <c r="S73"/>
  <c r="S87" s="1"/>
  <c r="R73"/>
  <c r="R97" s="1"/>
  <c r="Q73"/>
  <c r="Q97" s="1"/>
  <c r="P73"/>
  <c r="P97" s="1"/>
  <c r="O73"/>
  <c r="O97" s="1"/>
  <c r="N73"/>
  <c r="N97" s="1"/>
  <c r="M73"/>
  <c r="M97" s="1"/>
  <c r="X72"/>
  <c r="X96" s="1"/>
  <c r="W72"/>
  <c r="W96" s="1"/>
  <c r="V72"/>
  <c r="V96" s="1"/>
  <c r="U72"/>
  <c r="U96" s="1"/>
  <c r="T72"/>
  <c r="T96" s="1"/>
  <c r="S72"/>
  <c r="S96" s="1"/>
  <c r="R72"/>
  <c r="R96" s="1"/>
  <c r="Q72"/>
  <c r="Q96" s="1"/>
  <c r="P72"/>
  <c r="P96" s="1"/>
  <c r="O72"/>
  <c r="O96" s="1"/>
  <c r="N72"/>
  <c r="N96" s="1"/>
  <c r="M72"/>
  <c r="M96" s="1"/>
  <c r="L72"/>
  <c r="K72"/>
  <c r="J72"/>
  <c r="I72"/>
  <c r="H72"/>
  <c r="G72"/>
  <c r="G73" s="1"/>
  <c r="F72"/>
  <c r="E72"/>
  <c r="E73" s="1"/>
  <c r="X55"/>
  <c r="W55"/>
  <c r="V55"/>
  <c r="U55"/>
  <c r="T55"/>
  <c r="S55"/>
  <c r="R55"/>
  <c r="Q55"/>
  <c r="P55"/>
  <c r="O55"/>
  <c r="N55"/>
  <c r="M55"/>
  <c r="X42"/>
  <c r="W42"/>
  <c r="V42"/>
  <c r="U42"/>
  <c r="T42"/>
  <c r="S42"/>
  <c r="R42"/>
  <c r="Q42"/>
  <c r="P42"/>
  <c r="O42"/>
  <c r="N42"/>
  <c r="M42"/>
  <c r="L42"/>
  <c r="K42"/>
  <c r="J42"/>
  <c r="I42"/>
  <c r="H42"/>
  <c r="G42"/>
  <c r="F42"/>
  <c r="E42"/>
  <c r="X41"/>
  <c r="W41"/>
  <c r="V41"/>
  <c r="U41"/>
  <c r="T41"/>
  <c r="S41"/>
  <c r="R41"/>
  <c r="Q41"/>
  <c r="P41"/>
  <c r="O41"/>
  <c r="N41"/>
  <c r="M41"/>
  <c r="X40"/>
  <c r="W40"/>
  <c r="V40"/>
  <c r="U40"/>
  <c r="T40"/>
  <c r="S40"/>
  <c r="R40"/>
  <c r="Q40"/>
  <c r="P40"/>
  <c r="O40"/>
  <c r="N40"/>
  <c r="M40"/>
  <c r="X39"/>
  <c r="W39"/>
  <c r="V39"/>
  <c r="U39"/>
  <c r="T39"/>
  <c r="S39"/>
  <c r="R39"/>
  <c r="Q39"/>
  <c r="P39"/>
  <c r="O39"/>
  <c r="N39"/>
  <c r="M39"/>
  <c r="X34"/>
  <c r="W34"/>
  <c r="V34"/>
  <c r="U34"/>
  <c r="T34"/>
  <c r="S34"/>
  <c r="R34"/>
  <c r="Q34"/>
  <c r="P34"/>
  <c r="O34"/>
  <c r="N34"/>
  <c r="M34"/>
  <c r="E86" l="1"/>
  <c r="I91"/>
  <c r="F91"/>
  <c r="J91"/>
  <c r="G86"/>
  <c r="K91"/>
  <c r="E87"/>
  <c r="E92"/>
  <c r="G87"/>
  <c r="G92"/>
  <c r="I73"/>
  <c r="I86"/>
  <c r="Q87"/>
  <c r="M88"/>
  <c r="U88"/>
  <c r="I89"/>
  <c r="Q89"/>
  <c r="E91"/>
  <c r="S97"/>
  <c r="O98"/>
  <c r="K99"/>
  <c r="H73"/>
  <c r="H92" s="1"/>
  <c r="L73"/>
  <c r="K73"/>
  <c r="H91"/>
  <c r="L91"/>
  <c r="L92"/>
  <c r="K86"/>
  <c r="W88"/>
  <c r="S89"/>
  <c r="G91"/>
  <c r="W97"/>
  <c r="S98"/>
  <c r="O99"/>
  <c r="M87"/>
  <c r="U87"/>
  <c r="Q88"/>
  <c r="E89"/>
  <c r="M89"/>
  <c r="U89"/>
  <c r="O87"/>
  <c r="G89"/>
  <c r="W89"/>
  <c r="F73"/>
  <c r="F92" s="1"/>
  <c r="J73"/>
  <c r="J92" s="1"/>
  <c r="F86"/>
  <c r="F96" s="1"/>
  <c r="J86"/>
  <c r="J96" s="1"/>
  <c r="N87"/>
  <c r="R87"/>
  <c r="V87"/>
  <c r="N88"/>
  <c r="R88"/>
  <c r="V88"/>
  <c r="F89"/>
  <c r="J89"/>
  <c r="N89"/>
  <c r="R89"/>
  <c r="V89"/>
  <c r="H86"/>
  <c r="L86"/>
  <c r="P87"/>
  <c r="T87"/>
  <c r="X87"/>
  <c r="P88"/>
  <c r="T88"/>
  <c r="X88"/>
  <c r="H89"/>
  <c r="L89"/>
  <c r="P89"/>
  <c r="T89"/>
  <c r="X89"/>
  <c r="X32"/>
  <c r="W32"/>
  <c r="V32"/>
  <c r="U32"/>
  <c r="T32"/>
  <c r="S32"/>
  <c r="R32"/>
  <c r="Q32"/>
  <c r="P32"/>
  <c r="O32"/>
  <c r="N32"/>
  <c r="M32"/>
  <c r="L32"/>
  <c r="K32"/>
  <c r="J32"/>
  <c r="I32"/>
  <c r="H32"/>
  <c r="G32"/>
  <c r="F32"/>
  <c r="X31"/>
  <c r="W31"/>
  <c r="V31"/>
  <c r="U31"/>
  <c r="T31"/>
  <c r="S31"/>
  <c r="R31"/>
  <c r="Q31"/>
  <c r="P31"/>
  <c r="O31"/>
  <c r="N31"/>
  <c r="M31"/>
  <c r="L31"/>
  <c r="K31"/>
  <c r="J31"/>
  <c r="I31"/>
  <c r="H31"/>
  <c r="G31"/>
  <c r="F31"/>
  <c r="X30"/>
  <c r="W30"/>
  <c r="V30"/>
  <c r="U30"/>
  <c r="T30"/>
  <c r="S30"/>
  <c r="R30"/>
  <c r="Q30"/>
  <c r="P30"/>
  <c r="O30"/>
  <c r="N30"/>
  <c r="M30"/>
  <c r="L30"/>
  <c r="K30"/>
  <c r="J30"/>
  <c r="I30"/>
  <c r="H30"/>
  <c r="G30"/>
  <c r="F30"/>
  <c r="X28"/>
  <c r="W28"/>
  <c r="V28"/>
  <c r="U28"/>
  <c r="T28"/>
  <c r="S28"/>
  <c r="R28"/>
  <c r="Q28"/>
  <c r="P28"/>
  <c r="O28"/>
  <c r="N28"/>
  <c r="M28"/>
  <c r="L28"/>
  <c r="K28"/>
  <c r="J28"/>
  <c r="I28"/>
  <c r="H28"/>
  <c r="G28"/>
  <c r="F28"/>
  <c r="E28"/>
  <c r="X29"/>
  <c r="W29"/>
  <c r="V29"/>
  <c r="U29"/>
  <c r="T29"/>
  <c r="S29"/>
  <c r="R29"/>
  <c r="Q29"/>
  <c r="P29"/>
  <c r="O29"/>
  <c r="N29"/>
  <c r="M29"/>
  <c r="L29"/>
  <c r="K29"/>
  <c r="J29"/>
  <c r="I29"/>
  <c r="H29"/>
  <c r="G29"/>
  <c r="F29"/>
  <c r="E29"/>
  <c r="E27"/>
  <c r="X27"/>
  <c r="W27"/>
  <c r="V27"/>
  <c r="U27"/>
  <c r="T27"/>
  <c r="S27"/>
  <c r="R27"/>
  <c r="Q27"/>
  <c r="P27"/>
  <c r="O27"/>
  <c r="N27"/>
  <c r="M27"/>
  <c r="L27"/>
  <c r="K27"/>
  <c r="J27"/>
  <c r="I27"/>
  <c r="H27"/>
  <c r="G27"/>
  <c r="F27"/>
  <c r="X25"/>
  <c r="W25"/>
  <c r="V25"/>
  <c r="V49" s="1"/>
  <c r="U25"/>
  <c r="T25"/>
  <c r="S25"/>
  <c r="R25"/>
  <c r="R49" s="1"/>
  <c r="Q25"/>
  <c r="P25"/>
  <c r="O25"/>
  <c r="N25"/>
  <c r="N49" s="1"/>
  <c r="M25"/>
  <c r="L25"/>
  <c r="K25"/>
  <c r="J25"/>
  <c r="J49" s="1"/>
  <c r="I25"/>
  <c r="H25"/>
  <c r="G25"/>
  <c r="F25"/>
  <c r="F49" s="1"/>
  <c r="X24"/>
  <c r="W24"/>
  <c r="V24"/>
  <c r="U24"/>
  <c r="U48" s="1"/>
  <c r="T24"/>
  <c r="S24"/>
  <c r="R24"/>
  <c r="Q24"/>
  <c r="Q48" s="1"/>
  <c r="P24"/>
  <c r="O24"/>
  <c r="N24"/>
  <c r="M24"/>
  <c r="M48" s="1"/>
  <c r="L24"/>
  <c r="K24"/>
  <c r="J24"/>
  <c r="I24"/>
  <c r="I48" s="1"/>
  <c r="H24"/>
  <c r="G24"/>
  <c r="F24"/>
  <c r="X23"/>
  <c r="W23"/>
  <c r="V23"/>
  <c r="U23"/>
  <c r="T23"/>
  <c r="S23"/>
  <c r="R23"/>
  <c r="Q23"/>
  <c r="P23"/>
  <c r="O23"/>
  <c r="N23"/>
  <c r="M23"/>
  <c r="L23"/>
  <c r="K23"/>
  <c r="J23"/>
  <c r="I23"/>
  <c r="H23"/>
  <c r="G23"/>
  <c r="F23"/>
  <c r="X22"/>
  <c r="W22"/>
  <c r="V22"/>
  <c r="U22"/>
  <c r="T22"/>
  <c r="S22"/>
  <c r="R22"/>
  <c r="Q22"/>
  <c r="P22"/>
  <c r="O22"/>
  <c r="N22"/>
  <c r="M22"/>
  <c r="X21"/>
  <c r="W21"/>
  <c r="V21"/>
  <c r="U21"/>
  <c r="T21"/>
  <c r="S21"/>
  <c r="R21"/>
  <c r="Q21"/>
  <c r="P21"/>
  <c r="O21"/>
  <c r="N21"/>
  <c r="M21"/>
  <c r="X20"/>
  <c r="W20"/>
  <c r="V20"/>
  <c r="V44" s="1"/>
  <c r="U20"/>
  <c r="T20"/>
  <c r="S20"/>
  <c r="R20"/>
  <c r="R44" s="1"/>
  <c r="Q20"/>
  <c r="P20"/>
  <c r="O20"/>
  <c r="N20"/>
  <c r="N44" s="1"/>
  <c r="M20"/>
  <c r="L20"/>
  <c r="K20"/>
  <c r="J20"/>
  <c r="I20"/>
  <c r="H20"/>
  <c r="G20"/>
  <c r="F20"/>
  <c r="E20"/>
  <c r="X51"/>
  <c r="W51"/>
  <c r="V51"/>
  <c r="U51"/>
  <c r="T51"/>
  <c r="S51"/>
  <c r="R51"/>
  <c r="Q51"/>
  <c r="P51"/>
  <c r="O51"/>
  <c r="N51"/>
  <c r="M51"/>
  <c r="X52"/>
  <c r="W52"/>
  <c r="V52"/>
  <c r="U52"/>
  <c r="T52"/>
  <c r="S52"/>
  <c r="R52"/>
  <c r="Q52"/>
  <c r="P52"/>
  <c r="O52"/>
  <c r="N52"/>
  <c r="M52"/>
  <c r="L52"/>
  <c r="K52"/>
  <c r="J52"/>
  <c r="I52"/>
  <c r="H52"/>
  <c r="G52"/>
  <c r="F52"/>
  <c r="E52"/>
  <c r="F26" i="8"/>
  <c r="E26"/>
  <c r="E45" i="2"/>
  <c r="F43"/>
  <c r="E43"/>
  <c r="F20" i="8"/>
  <c r="E19"/>
  <c r="E20"/>
  <c r="E97" i="9" l="1"/>
  <c r="E21" i="8"/>
  <c r="E22" s="1"/>
  <c r="E23" s="1"/>
  <c r="E24" s="1"/>
  <c r="F21"/>
  <c r="F22" s="1"/>
  <c r="F23" s="1"/>
  <c r="F24" s="1"/>
  <c r="L96" i="9"/>
  <c r="G34"/>
  <c r="K34"/>
  <c r="H96"/>
  <c r="G96"/>
  <c r="E96"/>
  <c r="I96"/>
  <c r="G97"/>
  <c r="K96"/>
  <c r="K87"/>
  <c r="I87"/>
  <c r="K92"/>
  <c r="I92"/>
  <c r="J87"/>
  <c r="J97" s="1"/>
  <c r="L87"/>
  <c r="L97" s="1"/>
  <c r="F87"/>
  <c r="F97" s="1"/>
  <c r="H87"/>
  <c r="H97" s="1"/>
  <c r="G48"/>
  <c r="K48"/>
  <c r="O48"/>
  <c r="S48"/>
  <c r="P44"/>
  <c r="T44"/>
  <c r="X44"/>
  <c r="W48"/>
  <c r="H49"/>
  <c r="L49"/>
  <c r="P49"/>
  <c r="T49"/>
  <c r="X49"/>
  <c r="N45"/>
  <c r="N35"/>
  <c r="R45"/>
  <c r="R35"/>
  <c r="V45"/>
  <c r="V35"/>
  <c r="O36"/>
  <c r="O46"/>
  <c r="S36"/>
  <c r="S46"/>
  <c r="W36"/>
  <c r="W46"/>
  <c r="P37"/>
  <c r="P47"/>
  <c r="T37"/>
  <c r="T47"/>
  <c r="X37"/>
  <c r="X47"/>
  <c r="O44"/>
  <c r="S44"/>
  <c r="W44"/>
  <c r="O45"/>
  <c r="O35"/>
  <c r="S45"/>
  <c r="S35"/>
  <c r="W45"/>
  <c r="W35"/>
  <c r="P36"/>
  <c r="P46"/>
  <c r="T36"/>
  <c r="T46"/>
  <c r="X36"/>
  <c r="X46"/>
  <c r="M37"/>
  <c r="M47"/>
  <c r="Q37"/>
  <c r="Q47"/>
  <c r="U37"/>
  <c r="U47"/>
  <c r="F48"/>
  <c r="J48"/>
  <c r="N48"/>
  <c r="R48"/>
  <c r="V48"/>
  <c r="G49"/>
  <c r="K49"/>
  <c r="O49"/>
  <c r="S49"/>
  <c r="W49"/>
  <c r="P45"/>
  <c r="P35"/>
  <c r="T45"/>
  <c r="T35"/>
  <c r="X45"/>
  <c r="X35"/>
  <c r="M36"/>
  <c r="M46"/>
  <c r="Q36"/>
  <c r="Q46"/>
  <c r="U36"/>
  <c r="U46"/>
  <c r="N37"/>
  <c r="N47"/>
  <c r="R37"/>
  <c r="R47"/>
  <c r="V37"/>
  <c r="V47"/>
  <c r="M44"/>
  <c r="Q44"/>
  <c r="U44"/>
  <c r="M45"/>
  <c r="M35"/>
  <c r="Q45"/>
  <c r="Q35"/>
  <c r="U45"/>
  <c r="U35"/>
  <c r="N36"/>
  <c r="N46"/>
  <c r="R36"/>
  <c r="R46"/>
  <c r="V36"/>
  <c r="V46"/>
  <c r="O37"/>
  <c r="O47"/>
  <c r="S37"/>
  <c r="S47"/>
  <c r="W37"/>
  <c r="W47"/>
  <c r="H48"/>
  <c r="L48"/>
  <c r="P48"/>
  <c r="T48"/>
  <c r="X48"/>
  <c r="I49"/>
  <c r="M49"/>
  <c r="Q49"/>
  <c r="U49"/>
  <c r="J21"/>
  <c r="J74" s="1"/>
  <c r="J39"/>
  <c r="G21"/>
  <c r="G39"/>
  <c r="G44" s="1"/>
  <c r="I37"/>
  <c r="I47"/>
  <c r="H21"/>
  <c r="H74" s="1"/>
  <c r="H39"/>
  <c r="L21"/>
  <c r="L74" s="1"/>
  <c r="L39"/>
  <c r="F37"/>
  <c r="F47"/>
  <c r="J37"/>
  <c r="J47"/>
  <c r="F21"/>
  <c r="F74" s="1"/>
  <c r="F39"/>
  <c r="H37"/>
  <c r="H47"/>
  <c r="L37"/>
  <c r="L47"/>
  <c r="K21"/>
  <c r="K39"/>
  <c r="I21"/>
  <c r="I39"/>
  <c r="G37"/>
  <c r="G47"/>
  <c r="K37"/>
  <c r="K47"/>
  <c r="E39"/>
  <c r="F22"/>
  <c r="H22"/>
  <c r="L22"/>
  <c r="I34"/>
  <c r="J22"/>
  <c r="E21"/>
  <c r="E74" s="1"/>
  <c r="H34"/>
  <c r="H44" s="1"/>
  <c r="L34"/>
  <c r="E34"/>
  <c r="F34"/>
  <c r="J34"/>
  <c r="J44" s="1"/>
  <c r="E32"/>
  <c r="E31"/>
  <c r="E24"/>
  <c r="E30"/>
  <c r="E25"/>
  <c r="E49" s="1"/>
  <c r="X83" i="5"/>
  <c r="W83"/>
  <c r="V83"/>
  <c r="U83"/>
  <c r="T83"/>
  <c r="S83"/>
  <c r="R83"/>
  <c r="Q83"/>
  <c r="P83"/>
  <c r="O83"/>
  <c r="N83"/>
  <c r="M83"/>
  <c r="L83"/>
  <c r="K83"/>
  <c r="J83"/>
  <c r="I83"/>
  <c r="H83"/>
  <c r="G83"/>
  <c r="F83"/>
  <c r="E83"/>
  <c r="F22" i="7" s="1"/>
  <c r="L39" i="5"/>
  <c r="K39"/>
  <c r="J39"/>
  <c r="I39"/>
  <c r="H39"/>
  <c r="G39"/>
  <c r="F39"/>
  <c r="E39"/>
  <c r="X39"/>
  <c r="W39"/>
  <c r="V39"/>
  <c r="U39"/>
  <c r="T39"/>
  <c r="S39"/>
  <c r="R39"/>
  <c r="Q39"/>
  <c r="P39"/>
  <c r="O39"/>
  <c r="N39"/>
  <c r="M39"/>
  <c r="F21" i="7"/>
  <c r="E21"/>
  <c r="E22" l="1"/>
  <c r="H22" i="8"/>
  <c r="K44" i="9"/>
  <c r="I97"/>
  <c r="K74"/>
  <c r="K22"/>
  <c r="F93"/>
  <c r="F88"/>
  <c r="H88"/>
  <c r="H93"/>
  <c r="J93"/>
  <c r="J88"/>
  <c r="I74"/>
  <c r="I22"/>
  <c r="L88"/>
  <c r="L93"/>
  <c r="L98" s="1"/>
  <c r="L103" s="1"/>
  <c r="L107" s="1"/>
  <c r="G74"/>
  <c r="G22"/>
  <c r="E88"/>
  <c r="E93"/>
  <c r="E22"/>
  <c r="E36" s="1"/>
  <c r="K97"/>
  <c r="L44"/>
  <c r="I44"/>
  <c r="F44"/>
  <c r="E48"/>
  <c r="L36"/>
  <c r="L41"/>
  <c r="K40"/>
  <c r="K35"/>
  <c r="H40"/>
  <c r="H35"/>
  <c r="G35"/>
  <c r="G40"/>
  <c r="H36"/>
  <c r="H41"/>
  <c r="I35"/>
  <c r="I40"/>
  <c r="L35"/>
  <c r="L40"/>
  <c r="J36"/>
  <c r="J41"/>
  <c r="F36"/>
  <c r="F41"/>
  <c r="F35"/>
  <c r="F40"/>
  <c r="J35"/>
  <c r="J40"/>
  <c r="E44"/>
  <c r="E40"/>
  <c r="E35"/>
  <c r="E23"/>
  <c r="X90" i="5"/>
  <c r="W90"/>
  <c r="V90"/>
  <c r="U90"/>
  <c r="T90"/>
  <c r="S90"/>
  <c r="R90"/>
  <c r="Q90"/>
  <c r="P90"/>
  <c r="O90"/>
  <c r="N90"/>
  <c r="M90"/>
  <c r="X46"/>
  <c r="W46"/>
  <c r="V46"/>
  <c r="U46"/>
  <c r="T46"/>
  <c r="S46"/>
  <c r="R46"/>
  <c r="Q46"/>
  <c r="P46"/>
  <c r="O46"/>
  <c r="N46"/>
  <c r="M46"/>
  <c r="W85"/>
  <c r="X84"/>
  <c r="W84"/>
  <c r="V84"/>
  <c r="U84"/>
  <c r="T84"/>
  <c r="S84"/>
  <c r="R84"/>
  <c r="Q84"/>
  <c r="P84"/>
  <c r="O84"/>
  <c r="N84"/>
  <c r="M84"/>
  <c r="L84"/>
  <c r="K84"/>
  <c r="J84"/>
  <c r="I84"/>
  <c r="H84"/>
  <c r="G84"/>
  <c r="F84"/>
  <c r="X85"/>
  <c r="V85"/>
  <c r="U85"/>
  <c r="T85"/>
  <c r="S85"/>
  <c r="R85"/>
  <c r="Q85"/>
  <c r="P85"/>
  <c r="O85"/>
  <c r="N85"/>
  <c r="M85"/>
  <c r="L85"/>
  <c r="K85"/>
  <c r="J85"/>
  <c r="I85"/>
  <c r="H85"/>
  <c r="G85"/>
  <c r="F85"/>
  <c r="X82"/>
  <c r="W82"/>
  <c r="V82"/>
  <c r="U82"/>
  <c r="T82"/>
  <c r="S82"/>
  <c r="R82"/>
  <c r="Q82"/>
  <c r="P82"/>
  <c r="O82"/>
  <c r="N82"/>
  <c r="M82"/>
  <c r="L82"/>
  <c r="K82"/>
  <c r="J82"/>
  <c r="I82"/>
  <c r="H82"/>
  <c r="G82"/>
  <c r="F82"/>
  <c r="E85"/>
  <c r="E84"/>
  <c r="X40"/>
  <c r="W40"/>
  <c r="V40"/>
  <c r="U40"/>
  <c r="T40"/>
  <c r="S40"/>
  <c r="R40"/>
  <c r="Q40"/>
  <c r="P40"/>
  <c r="O40"/>
  <c r="N40"/>
  <c r="M40"/>
  <c r="L40"/>
  <c r="K40"/>
  <c r="J40"/>
  <c r="I40"/>
  <c r="H40"/>
  <c r="G40"/>
  <c r="F40"/>
  <c r="W41"/>
  <c r="V41"/>
  <c r="U41"/>
  <c r="S41"/>
  <c r="R41"/>
  <c r="O41"/>
  <c r="N41"/>
  <c r="M41"/>
  <c r="K41"/>
  <c r="J41"/>
  <c r="I41"/>
  <c r="G41"/>
  <c r="E40"/>
  <c r="E82"/>
  <c r="X45"/>
  <c r="W45"/>
  <c r="V45"/>
  <c r="U45"/>
  <c r="T45"/>
  <c r="S45"/>
  <c r="R45"/>
  <c r="Q45"/>
  <c r="P45"/>
  <c r="O45"/>
  <c r="N45"/>
  <c r="M45"/>
  <c r="X41"/>
  <c r="T41"/>
  <c r="Q41"/>
  <c r="P41"/>
  <c r="L41"/>
  <c r="H41"/>
  <c r="F38"/>
  <c r="E38"/>
  <c r="X38"/>
  <c r="W38"/>
  <c r="V38"/>
  <c r="U38"/>
  <c r="T38"/>
  <c r="S38"/>
  <c r="R38"/>
  <c r="Q38"/>
  <c r="P38"/>
  <c r="O38"/>
  <c r="N38"/>
  <c r="M38"/>
  <c r="L38"/>
  <c r="K38"/>
  <c r="J38"/>
  <c r="I38"/>
  <c r="H38"/>
  <c r="G38"/>
  <c r="F71"/>
  <c r="E71"/>
  <c r="X71"/>
  <c r="W71"/>
  <c r="V71"/>
  <c r="U71"/>
  <c r="T71"/>
  <c r="S71"/>
  <c r="R71"/>
  <c r="Q71"/>
  <c r="P71"/>
  <c r="O71"/>
  <c r="N71"/>
  <c r="M71"/>
  <c r="L71"/>
  <c r="K71"/>
  <c r="J71"/>
  <c r="I71"/>
  <c r="H71"/>
  <c r="G71"/>
  <c r="X72"/>
  <c r="W72"/>
  <c r="V72"/>
  <c r="U72"/>
  <c r="T72"/>
  <c r="S72"/>
  <c r="R72"/>
  <c r="Q72"/>
  <c r="P72"/>
  <c r="O72"/>
  <c r="N72"/>
  <c r="M72"/>
  <c r="L72"/>
  <c r="K72"/>
  <c r="J72"/>
  <c r="I72"/>
  <c r="H72"/>
  <c r="G72"/>
  <c r="F72"/>
  <c r="E72"/>
  <c r="G27"/>
  <c r="F27"/>
  <c r="E27"/>
  <c r="G28"/>
  <c r="F28"/>
  <c r="E28"/>
  <c r="X27"/>
  <c r="W27"/>
  <c r="V27"/>
  <c r="U27"/>
  <c r="T27"/>
  <c r="S27"/>
  <c r="R27"/>
  <c r="Q27"/>
  <c r="P27"/>
  <c r="O27"/>
  <c r="N27"/>
  <c r="M27"/>
  <c r="L27"/>
  <c r="K27"/>
  <c r="J27"/>
  <c r="I27"/>
  <c r="H27"/>
  <c r="X28"/>
  <c r="W28"/>
  <c r="V28"/>
  <c r="U28"/>
  <c r="T28"/>
  <c r="S28"/>
  <c r="R28"/>
  <c r="Q28"/>
  <c r="P28"/>
  <c r="O28"/>
  <c r="N28"/>
  <c r="M28"/>
  <c r="L28"/>
  <c r="K28"/>
  <c r="J28"/>
  <c r="I28"/>
  <c r="H28"/>
  <c r="X81"/>
  <c r="W81"/>
  <c r="V81"/>
  <c r="U81"/>
  <c r="T81"/>
  <c r="S81"/>
  <c r="R81"/>
  <c r="Q81"/>
  <c r="P81"/>
  <c r="O81"/>
  <c r="N81"/>
  <c r="M81"/>
  <c r="L81"/>
  <c r="K81"/>
  <c r="J81"/>
  <c r="I81"/>
  <c r="H81"/>
  <c r="G81"/>
  <c r="F81"/>
  <c r="E81"/>
  <c r="X73"/>
  <c r="X74" s="1"/>
  <c r="W73"/>
  <c r="W74" s="1"/>
  <c r="V73"/>
  <c r="U73"/>
  <c r="U74" s="1"/>
  <c r="T73"/>
  <c r="T74" s="1"/>
  <c r="T75" s="1"/>
  <c r="T78" s="1"/>
  <c r="S73"/>
  <c r="S74" s="1"/>
  <c r="R73"/>
  <c r="R74" s="1"/>
  <c r="Q73"/>
  <c r="Q74" s="1"/>
  <c r="P73"/>
  <c r="P74" s="1"/>
  <c r="O73"/>
  <c r="O74" s="1"/>
  <c r="N73"/>
  <c r="N74" s="1"/>
  <c r="M73"/>
  <c r="M74" s="1"/>
  <c r="L73"/>
  <c r="L74" s="1"/>
  <c r="K73"/>
  <c r="K74" s="1"/>
  <c r="J73"/>
  <c r="J74" s="1"/>
  <c r="I73"/>
  <c r="I74" s="1"/>
  <c r="H73"/>
  <c r="H74" s="1"/>
  <c r="G73"/>
  <c r="G74" s="1"/>
  <c r="F73"/>
  <c r="X70"/>
  <c r="W70"/>
  <c r="V70"/>
  <c r="U70"/>
  <c r="T70"/>
  <c r="S70"/>
  <c r="R70"/>
  <c r="Q70"/>
  <c r="P70"/>
  <c r="O70"/>
  <c r="N70"/>
  <c r="M70"/>
  <c r="L70"/>
  <c r="K70"/>
  <c r="J70"/>
  <c r="I70"/>
  <c r="H70"/>
  <c r="G70"/>
  <c r="F70"/>
  <c r="E73"/>
  <c r="E74" s="1"/>
  <c r="E70"/>
  <c r="X69"/>
  <c r="X79" s="1"/>
  <c r="W69"/>
  <c r="W79" s="1"/>
  <c r="V69"/>
  <c r="V79" s="1"/>
  <c r="U69"/>
  <c r="U79" s="1"/>
  <c r="T69"/>
  <c r="T79" s="1"/>
  <c r="S69"/>
  <c r="S79" s="1"/>
  <c r="R69"/>
  <c r="R79" s="1"/>
  <c r="Q69"/>
  <c r="Q79" s="1"/>
  <c r="P69"/>
  <c r="P79" s="1"/>
  <c r="O69"/>
  <c r="O79" s="1"/>
  <c r="N69"/>
  <c r="N79" s="1"/>
  <c r="M69"/>
  <c r="M79" s="1"/>
  <c r="L69"/>
  <c r="L79" s="1"/>
  <c r="K69"/>
  <c r="K79" s="1"/>
  <c r="J69"/>
  <c r="J79" s="1"/>
  <c r="I69"/>
  <c r="I79" s="1"/>
  <c r="H69"/>
  <c r="H79" s="1"/>
  <c r="G69"/>
  <c r="G79" s="1"/>
  <c r="F69"/>
  <c r="F79" s="1"/>
  <c r="E69"/>
  <c r="E79" s="1"/>
  <c r="X25"/>
  <c r="W25"/>
  <c r="V25"/>
  <c r="U25"/>
  <c r="T25"/>
  <c r="S25"/>
  <c r="R25"/>
  <c r="Q25"/>
  <c r="P25"/>
  <c r="O25"/>
  <c r="N25"/>
  <c r="M25"/>
  <c r="L25"/>
  <c r="K25"/>
  <c r="J25"/>
  <c r="I25"/>
  <c r="H25"/>
  <c r="G25"/>
  <c r="F25"/>
  <c r="E25"/>
  <c r="E86" l="1"/>
  <c r="E23" i="7"/>
  <c r="E24" s="1"/>
  <c r="F23"/>
  <c r="F24" s="1"/>
  <c r="H98" i="9"/>
  <c r="H103" s="1"/>
  <c r="H107" s="1"/>
  <c r="E41"/>
  <c r="F98"/>
  <c r="F103" s="1"/>
  <c r="F107" s="1"/>
  <c r="G36"/>
  <c r="G41"/>
  <c r="G46" s="1"/>
  <c r="F46"/>
  <c r="H46"/>
  <c r="L46"/>
  <c r="G93"/>
  <c r="G88"/>
  <c r="I36"/>
  <c r="I41"/>
  <c r="K36"/>
  <c r="K41"/>
  <c r="I93"/>
  <c r="I98" s="1"/>
  <c r="I103" s="1"/>
  <c r="I107" s="1"/>
  <c r="I88"/>
  <c r="K93"/>
  <c r="K88"/>
  <c r="J46"/>
  <c r="J98"/>
  <c r="J103" s="1"/>
  <c r="J107" s="1"/>
  <c r="E98"/>
  <c r="E103" s="1"/>
  <c r="E107" s="1"/>
  <c r="E46"/>
  <c r="H45"/>
  <c r="G45"/>
  <c r="J45"/>
  <c r="I45"/>
  <c r="K45"/>
  <c r="F45"/>
  <c r="L45"/>
  <c r="E45"/>
  <c r="E37"/>
  <c r="E47"/>
  <c r="F41" i="5"/>
  <c r="F86"/>
  <c r="J86"/>
  <c r="N86"/>
  <c r="R86"/>
  <c r="V86"/>
  <c r="G86"/>
  <c r="K86"/>
  <c r="O86"/>
  <c r="S86"/>
  <c r="W86"/>
  <c r="H86"/>
  <c r="L86"/>
  <c r="P86"/>
  <c r="T86"/>
  <c r="X86"/>
  <c r="I86"/>
  <c r="M86"/>
  <c r="Q86"/>
  <c r="U86"/>
  <c r="F42"/>
  <c r="G42"/>
  <c r="K42"/>
  <c r="O42"/>
  <c r="S42"/>
  <c r="W42"/>
  <c r="E41"/>
  <c r="E42" s="1"/>
  <c r="J42"/>
  <c r="N42"/>
  <c r="R42"/>
  <c r="V42"/>
  <c r="H42"/>
  <c r="L42"/>
  <c r="P42"/>
  <c r="T42"/>
  <c r="X42"/>
  <c r="I42"/>
  <c r="M42"/>
  <c r="Q42"/>
  <c r="U42"/>
  <c r="T80"/>
  <c r="H75"/>
  <c r="P75"/>
  <c r="P78" s="1"/>
  <c r="P80" s="1"/>
  <c r="F74"/>
  <c r="F75" s="1"/>
  <c r="V74"/>
  <c r="V75" s="1"/>
  <c r="V78" s="1"/>
  <c r="V80" s="1"/>
  <c r="L75"/>
  <c r="X75"/>
  <c r="X78" s="1"/>
  <c r="X80" s="1"/>
  <c r="Q75"/>
  <c r="Q78" s="1"/>
  <c r="Q80" s="1"/>
  <c r="E76"/>
  <c r="E77" s="1"/>
  <c r="I75"/>
  <c r="J76"/>
  <c r="N76"/>
  <c r="N77" s="1"/>
  <c r="R76"/>
  <c r="R77" s="1"/>
  <c r="J75"/>
  <c r="M75"/>
  <c r="M78" s="1"/>
  <c r="M80" s="1"/>
  <c r="N75"/>
  <c r="N78" s="1"/>
  <c r="N80" s="1"/>
  <c r="U75"/>
  <c r="U78" s="1"/>
  <c r="U80" s="1"/>
  <c r="R75"/>
  <c r="R78" s="1"/>
  <c r="R80" s="1"/>
  <c r="G76"/>
  <c r="K75"/>
  <c r="O76"/>
  <c r="O77" s="1"/>
  <c r="S75"/>
  <c r="S78" s="1"/>
  <c r="S80" s="1"/>
  <c r="W76"/>
  <c r="W77" s="1"/>
  <c r="K76"/>
  <c r="S76"/>
  <c r="S77" s="1"/>
  <c r="G75"/>
  <c r="O75"/>
  <c r="O78" s="1"/>
  <c r="O80" s="1"/>
  <c r="W75"/>
  <c r="W78" s="1"/>
  <c r="W80" s="1"/>
  <c r="H76"/>
  <c r="L76"/>
  <c r="P76"/>
  <c r="P77" s="1"/>
  <c r="T76"/>
  <c r="T77" s="1"/>
  <c r="X76"/>
  <c r="X77" s="1"/>
  <c r="I76"/>
  <c r="M76"/>
  <c r="M77" s="1"/>
  <c r="Q76"/>
  <c r="Q77" s="1"/>
  <c r="U76"/>
  <c r="U77" s="1"/>
  <c r="E75"/>
  <c r="X29"/>
  <c r="X30" s="1"/>
  <c r="W29"/>
  <c r="W30" s="1"/>
  <c r="V29"/>
  <c r="V30" s="1"/>
  <c r="U29"/>
  <c r="U30" s="1"/>
  <c r="T29"/>
  <c r="T30" s="1"/>
  <c r="S29"/>
  <c r="S30" s="1"/>
  <c r="R29"/>
  <c r="R30" s="1"/>
  <c r="Q29"/>
  <c r="Q30" s="1"/>
  <c r="P29"/>
  <c r="P30" s="1"/>
  <c r="O29"/>
  <c r="O30" s="1"/>
  <c r="N29"/>
  <c r="N30" s="1"/>
  <c r="M29"/>
  <c r="M30" s="1"/>
  <c r="L29"/>
  <c r="L30" s="1"/>
  <c r="L32" s="1"/>
  <c r="L33" s="1"/>
  <c r="K29"/>
  <c r="K30" s="1"/>
  <c r="K32" s="1"/>
  <c r="K34" s="1"/>
  <c r="J29"/>
  <c r="J30" s="1"/>
  <c r="J32" s="1"/>
  <c r="J34" s="1"/>
  <c r="I29"/>
  <c r="I30" s="1"/>
  <c r="I32" s="1"/>
  <c r="I34" s="1"/>
  <c r="H29"/>
  <c r="H30" s="1"/>
  <c r="H31" s="1"/>
  <c r="G29"/>
  <c r="G30" s="1"/>
  <c r="G32" s="1"/>
  <c r="G34" s="1"/>
  <c r="F29"/>
  <c r="F30" s="1"/>
  <c r="F32" s="1"/>
  <c r="F34" s="1"/>
  <c r="E29"/>
  <c r="E30" s="1"/>
  <c r="E32" s="1"/>
  <c r="E34" s="1"/>
  <c r="X31"/>
  <c r="X34" s="1"/>
  <c r="W32"/>
  <c r="V32"/>
  <c r="U32"/>
  <c r="T32"/>
  <c r="T33" s="1"/>
  <c r="S32"/>
  <c r="R32"/>
  <c r="Q32"/>
  <c r="P31"/>
  <c r="P34" s="1"/>
  <c r="O32"/>
  <c r="N32"/>
  <c r="M31"/>
  <c r="M34" s="1"/>
  <c r="X26"/>
  <c r="W26"/>
  <c r="V26"/>
  <c r="U26"/>
  <c r="T26"/>
  <c r="S26"/>
  <c r="R26"/>
  <c r="Q26"/>
  <c r="P26"/>
  <c r="O26"/>
  <c r="N26"/>
  <c r="M26"/>
  <c r="L26"/>
  <c r="K26"/>
  <c r="J26"/>
  <c r="I26"/>
  <c r="H26"/>
  <c r="G26"/>
  <c r="F26"/>
  <c r="E26"/>
  <c r="K98" i="9" l="1"/>
  <c r="K103" s="1"/>
  <c r="K107" s="1"/>
  <c r="G98"/>
  <c r="G103" s="1"/>
  <c r="G107" s="1"/>
  <c r="K46"/>
  <c r="I46"/>
  <c r="V76" i="5"/>
  <c r="V77" s="1"/>
  <c r="F76"/>
  <c r="F77" s="1"/>
  <c r="E78"/>
  <c r="I77"/>
  <c r="I78"/>
  <c r="I80" s="1"/>
  <c r="I89" s="1"/>
  <c r="L77"/>
  <c r="L78"/>
  <c r="L80" s="1"/>
  <c r="L89" s="1"/>
  <c r="H77"/>
  <c r="H78"/>
  <c r="H80" s="1"/>
  <c r="H89" s="1"/>
  <c r="K77"/>
  <c r="K78"/>
  <c r="K80" s="1"/>
  <c r="K89" s="1"/>
  <c r="J77"/>
  <c r="J78"/>
  <c r="J80" s="1"/>
  <c r="J89" s="1"/>
  <c r="G77"/>
  <c r="G78"/>
  <c r="G80" s="1"/>
  <c r="G89" s="1"/>
  <c r="Q33"/>
  <c r="U33"/>
  <c r="L34"/>
  <c r="N33"/>
  <c r="R33"/>
  <c r="V33"/>
  <c r="E33"/>
  <c r="O33"/>
  <c r="S33"/>
  <c r="W33"/>
  <c r="I33"/>
  <c r="F33"/>
  <c r="J33"/>
  <c r="G33"/>
  <c r="K33"/>
  <c r="L31"/>
  <c r="T31"/>
  <c r="T34" s="1"/>
  <c r="H32"/>
  <c r="P32"/>
  <c r="P33" s="1"/>
  <c r="X32"/>
  <c r="X33" s="1"/>
  <c r="I31"/>
  <c r="Q31"/>
  <c r="Q34" s="1"/>
  <c r="U31"/>
  <c r="U34" s="1"/>
  <c r="M32"/>
  <c r="M33" s="1"/>
  <c r="F31"/>
  <c r="J31"/>
  <c r="N31"/>
  <c r="N34" s="1"/>
  <c r="R31"/>
  <c r="R34" s="1"/>
  <c r="V31"/>
  <c r="V34" s="1"/>
  <c r="E31"/>
  <c r="G31"/>
  <c r="K31"/>
  <c r="O31"/>
  <c r="O34" s="1"/>
  <c r="S31"/>
  <c r="S34" s="1"/>
  <c r="W31"/>
  <c r="W34" s="1"/>
  <c r="H90" l="1"/>
  <c r="I90"/>
  <c r="J90"/>
  <c r="E80"/>
  <c r="E89" s="1"/>
  <c r="E90"/>
  <c r="K90"/>
  <c r="L90"/>
  <c r="G90"/>
  <c r="F15" i="7"/>
  <c r="F16"/>
  <c r="F78" i="5"/>
  <c r="H34"/>
  <c r="H33"/>
  <c r="R91" l="1"/>
  <c r="N91"/>
  <c r="O91"/>
  <c r="I91"/>
  <c r="G91"/>
  <c r="F17" i="7" s="1"/>
  <c r="H91" i="5"/>
  <c r="F80"/>
  <c r="F89" s="1"/>
  <c r="F90"/>
  <c r="J91" l="1"/>
  <c r="F18" i="7" s="1"/>
  <c r="F29" s="1"/>
  <c r="F28" i="8" s="1"/>
  <c r="L91" i="5"/>
  <c r="K91"/>
  <c r="F91"/>
  <c r="F29" i="8" l="1"/>
  <c r="F30" s="1"/>
  <c r="E100" i="5"/>
  <c r="J34" i="2"/>
  <c r="J35"/>
  <c r="J36"/>
  <c r="J37"/>
  <c r="J38"/>
  <c r="J39"/>
  <c r="J33"/>
  <c r="F100" i="5" l="1"/>
  <c r="X100"/>
  <c r="W100"/>
  <c r="V100"/>
  <c r="U100"/>
  <c r="T100"/>
  <c r="S100"/>
  <c r="R100"/>
  <c r="Q100"/>
  <c r="P100"/>
  <c r="O100"/>
  <c r="N100"/>
  <c r="M100"/>
  <c r="L100"/>
  <c r="K100"/>
  <c r="J100"/>
  <c r="I100"/>
  <c r="H100"/>
  <c r="G100"/>
  <c r="X99"/>
  <c r="W99"/>
  <c r="V99"/>
  <c r="U99"/>
  <c r="T99"/>
  <c r="S99"/>
  <c r="R99"/>
  <c r="Q99"/>
  <c r="P99"/>
  <c r="O99"/>
  <c r="N99"/>
  <c r="M99"/>
  <c r="L99"/>
  <c r="K99"/>
  <c r="J99"/>
  <c r="I99"/>
  <c r="H99"/>
  <c r="G99"/>
  <c r="F99"/>
  <c r="E99"/>
  <c r="F25" i="8" l="1"/>
  <c r="F27" s="1"/>
  <c r="E25"/>
  <c r="E27" s="1"/>
  <c r="X37" i="5" l="1"/>
  <c r="W37"/>
  <c r="V37"/>
  <c r="U37"/>
  <c r="T37"/>
  <c r="S37"/>
  <c r="R37"/>
  <c r="Q37"/>
  <c r="P37"/>
  <c r="O37"/>
  <c r="N37"/>
  <c r="M37"/>
  <c r="L37"/>
  <c r="L46" s="1"/>
  <c r="K37"/>
  <c r="K46" s="1"/>
  <c r="J37"/>
  <c r="J46" s="1"/>
  <c r="I37"/>
  <c r="I46" s="1"/>
  <c r="H37"/>
  <c r="H46" s="1"/>
  <c r="G37"/>
  <c r="G46" s="1"/>
  <c r="F37"/>
  <c r="F46" s="1"/>
  <c r="E37"/>
  <c r="E46" s="1"/>
  <c r="R47" l="1"/>
  <c r="F47"/>
  <c r="H47"/>
  <c r="G47"/>
  <c r="E17" i="7" s="1"/>
  <c r="I47" i="5"/>
  <c r="L47"/>
  <c r="K47"/>
  <c r="J47"/>
  <c r="E18" i="7" s="1"/>
  <c r="N47" i="5"/>
  <c r="O47"/>
  <c r="R89"/>
  <c r="O89"/>
  <c r="E29" i="7" l="1"/>
  <c r="E28" i="8" s="1"/>
  <c r="E51" i="9"/>
  <c r="E55" s="1"/>
  <c r="X89" i="5"/>
  <c r="S89"/>
  <c r="Q89"/>
  <c r="U89"/>
  <c r="T89"/>
  <c r="N89"/>
  <c r="M89"/>
  <c r="W89"/>
  <c r="V89"/>
  <c r="P89"/>
  <c r="X35"/>
  <c r="W35"/>
  <c r="V35"/>
  <c r="U35"/>
  <c r="T35"/>
  <c r="S35"/>
  <c r="R35"/>
  <c r="Q35"/>
  <c r="P35"/>
  <c r="O35"/>
  <c r="N35"/>
  <c r="M35"/>
  <c r="L35"/>
  <c r="K35"/>
  <c r="J35"/>
  <c r="I35"/>
  <c r="H35"/>
  <c r="G35"/>
  <c r="F35"/>
  <c r="E35"/>
  <c r="F14" i="7" l="1"/>
  <c r="E29" i="8"/>
  <c r="E30" s="1"/>
  <c r="J51" i="9"/>
  <c r="J55" s="1"/>
  <c r="H51"/>
  <c r="H55" s="1"/>
  <c r="F51"/>
  <c r="F55" s="1"/>
  <c r="K51"/>
  <c r="K55" s="1"/>
  <c r="L51"/>
  <c r="L55" s="1"/>
  <c r="I51"/>
  <c r="I55" s="1"/>
  <c r="F13" i="7"/>
  <c r="E91" i="5"/>
  <c r="G36"/>
  <c r="G45" s="1"/>
  <c r="O36"/>
  <c r="W36"/>
  <c r="L36"/>
  <c r="L45" s="1"/>
  <c r="T36"/>
  <c r="E36"/>
  <c r="E45" s="1"/>
  <c r="I36"/>
  <c r="I45" s="1"/>
  <c r="M36"/>
  <c r="Q36"/>
  <c r="U36"/>
  <c r="K36"/>
  <c r="K45" s="1"/>
  <c r="S36"/>
  <c r="H36"/>
  <c r="H45" s="1"/>
  <c r="E16" i="7" s="1"/>
  <c r="P36" i="5"/>
  <c r="X36"/>
  <c r="F36"/>
  <c r="F45" s="1"/>
  <c r="J36"/>
  <c r="J45" s="1"/>
  <c r="N36"/>
  <c r="R36"/>
  <c r="V36"/>
  <c r="E14" i="7" l="1"/>
  <c r="F28"/>
  <c r="E13"/>
  <c r="G51" i="9"/>
  <c r="G55" s="1"/>
  <c r="E47" i="5"/>
  <c r="E28" i="7" l="1"/>
  <c r="F33" i="8"/>
  <c r="E33" l="1"/>
</calcChain>
</file>

<file path=xl/sharedStrings.xml><?xml version="1.0" encoding="utf-8"?>
<sst xmlns="http://schemas.openxmlformats.org/spreadsheetml/2006/main" count="647" uniqueCount="314">
  <si>
    <t>Failure rate</t>
  </si>
  <si>
    <t>On-line</t>
  </si>
  <si>
    <t>Off-line</t>
  </si>
  <si>
    <t>Lane Type</t>
  </si>
  <si>
    <t>Random</t>
  </si>
  <si>
    <t>Typical</t>
  </si>
  <si>
    <t>Transit Capacity &amp; Quality of Service Manual, Third Edition</t>
  </si>
  <si>
    <t>Inputs</t>
  </si>
  <si>
    <t>Calculations</t>
  </si>
  <si>
    <t>Output</t>
  </si>
  <si>
    <t>Step 1: Calculate Bus Stop Capacity</t>
  </si>
  <si>
    <t>Outputs</t>
  </si>
  <si>
    <t>Z</t>
  </si>
  <si>
    <t>Coefficient of variation of dwell times</t>
  </si>
  <si>
    <t>Standard normal variable corresponding to failure rate</t>
  </si>
  <si>
    <t>g/C</t>
  </si>
  <si>
    <t>Green time ratio</t>
  </si>
  <si>
    <r>
      <t>c</t>
    </r>
    <r>
      <rPr>
        <vertAlign val="subscript"/>
        <sz val="10"/>
        <color theme="1"/>
        <rFont val="Calibri"/>
        <family val="2"/>
        <scheme val="minor"/>
      </rPr>
      <t>v</t>
    </r>
  </si>
  <si>
    <r>
      <t>t</t>
    </r>
    <r>
      <rPr>
        <vertAlign val="subscript"/>
        <sz val="10"/>
        <color theme="1"/>
        <rFont val="Calibri"/>
        <family val="2"/>
        <scheme val="minor"/>
      </rPr>
      <t>d</t>
    </r>
  </si>
  <si>
    <r>
      <t>t</t>
    </r>
    <r>
      <rPr>
        <vertAlign val="subscript"/>
        <sz val="10"/>
        <color theme="1"/>
        <rFont val="Calibri"/>
        <family val="2"/>
        <scheme val="minor"/>
      </rPr>
      <t>c</t>
    </r>
  </si>
  <si>
    <r>
      <t>t</t>
    </r>
    <r>
      <rPr>
        <vertAlign val="subscript"/>
        <sz val="10"/>
        <color theme="1"/>
        <rFont val="Calibri"/>
        <family val="2"/>
        <scheme val="minor"/>
      </rPr>
      <t>om</t>
    </r>
  </si>
  <si>
    <t>Number of effective loading areas</t>
  </si>
  <si>
    <r>
      <t>B</t>
    </r>
    <r>
      <rPr>
        <vertAlign val="subscript"/>
        <sz val="11"/>
        <color theme="1"/>
        <rFont val="Calibri"/>
        <family val="2"/>
        <scheme val="minor"/>
      </rPr>
      <t>l</t>
    </r>
  </si>
  <si>
    <t>Northbound/Eastbound Stops</t>
  </si>
  <si>
    <t>Southbound/Westbound Stops</t>
  </si>
  <si>
    <r>
      <t>B</t>
    </r>
    <r>
      <rPr>
        <b/>
        <i/>
        <vertAlign val="subscript"/>
        <sz val="11"/>
        <color theme="1"/>
        <rFont val="Calibri"/>
        <family val="2"/>
        <scheme val="minor"/>
      </rPr>
      <t>s</t>
    </r>
  </si>
  <si>
    <t>Stop type (on-line/off-line)</t>
  </si>
  <si>
    <t>v</t>
  </si>
  <si>
    <t>Near-side</t>
  </si>
  <si>
    <t>Far-side</t>
  </si>
  <si>
    <t>Bus stop location factor</t>
  </si>
  <si>
    <t>B</t>
  </si>
  <si>
    <t>Bus lane type</t>
  </si>
  <si>
    <r>
      <t>f</t>
    </r>
    <r>
      <rPr>
        <vertAlign val="subscript"/>
        <sz val="10"/>
        <rFont val="Calibri"/>
        <family val="2"/>
        <scheme val="minor"/>
      </rPr>
      <t>l</t>
    </r>
  </si>
  <si>
    <t>Bus lane</t>
  </si>
  <si>
    <t>Mixed</t>
  </si>
  <si>
    <t>Number of alternating skip-stops in sequence</t>
  </si>
  <si>
    <t>Arrival type</t>
  </si>
  <si>
    <t>NB/EB</t>
  </si>
  <si>
    <t>SB/WB</t>
  </si>
  <si>
    <r>
      <t>f</t>
    </r>
    <r>
      <rPr>
        <vertAlign val="subscript"/>
        <sz val="10"/>
        <rFont val="Calibri"/>
        <family val="2"/>
        <scheme val="minor"/>
      </rPr>
      <t>a</t>
    </r>
  </si>
  <si>
    <r>
      <t>f</t>
    </r>
    <r>
      <rPr>
        <vertAlign val="subscript"/>
        <sz val="10"/>
        <rFont val="Calibri"/>
        <family val="2"/>
        <scheme val="minor"/>
      </rPr>
      <t>i</t>
    </r>
  </si>
  <si>
    <r>
      <t>f</t>
    </r>
    <r>
      <rPr>
        <vertAlign val="subscript"/>
        <sz val="10"/>
        <rFont val="Calibri"/>
        <family val="2"/>
        <scheme val="minor"/>
      </rPr>
      <t>k</t>
    </r>
  </si>
  <si>
    <r>
      <t>B</t>
    </r>
    <r>
      <rPr>
        <vertAlign val="subscript"/>
        <sz val="10"/>
        <rFont val="Calibri"/>
        <family val="2"/>
        <scheme val="minor"/>
      </rPr>
      <t>1</t>
    </r>
  </si>
  <si>
    <r>
      <t>B</t>
    </r>
    <r>
      <rPr>
        <vertAlign val="subscript"/>
        <sz val="10"/>
        <rFont val="Calibri"/>
        <family val="2"/>
        <scheme val="minor"/>
      </rPr>
      <t>2</t>
    </r>
  </si>
  <si>
    <r>
      <t>B</t>
    </r>
    <r>
      <rPr>
        <vertAlign val="subscript"/>
        <sz val="10"/>
        <rFont val="Calibri"/>
        <family val="2"/>
        <scheme val="minor"/>
      </rPr>
      <t>3</t>
    </r>
  </si>
  <si>
    <r>
      <t>B</t>
    </r>
    <r>
      <rPr>
        <vertAlign val="subscript"/>
        <sz val="10"/>
        <rFont val="Calibri"/>
        <family val="2"/>
        <scheme val="minor"/>
      </rPr>
      <t>4</t>
    </r>
  </si>
  <si>
    <t>Direction</t>
  </si>
  <si>
    <r>
      <t>N</t>
    </r>
    <r>
      <rPr>
        <vertAlign val="subscript"/>
        <sz val="10"/>
        <rFont val="Calibri"/>
        <family val="2"/>
        <scheme val="minor"/>
      </rPr>
      <t>ss</t>
    </r>
  </si>
  <si>
    <r>
      <t>N</t>
    </r>
    <r>
      <rPr>
        <vertAlign val="subscript"/>
        <sz val="10"/>
        <rFont val="Calibri"/>
        <family val="2"/>
        <scheme val="minor"/>
      </rPr>
      <t>el</t>
    </r>
  </si>
  <si>
    <t>Number of physical loading areas</t>
  </si>
  <si>
    <t>Loading area design (linear/non-linear)</t>
  </si>
  <si>
    <t>Linear</t>
  </si>
  <si>
    <t>Non-linear</t>
  </si>
  <si>
    <t>Arrival type (random/typical/platooned)</t>
  </si>
  <si>
    <t>Platooned</t>
  </si>
  <si>
    <t>Step 0: Calculate Average Dwell Time (Optional)</t>
  </si>
  <si>
    <t>Available door channels</t>
  </si>
  <si>
    <t>Average alighting volume per bus</t>
  </si>
  <si>
    <t>Average boarding volume per bus</t>
  </si>
  <si>
    <r>
      <t>P</t>
    </r>
    <r>
      <rPr>
        <vertAlign val="subscript"/>
        <sz val="10"/>
        <rFont val="Calibri"/>
        <family val="2"/>
        <scheme val="minor"/>
      </rPr>
      <t>a,1</t>
    </r>
  </si>
  <si>
    <r>
      <t>P</t>
    </r>
    <r>
      <rPr>
        <vertAlign val="subscript"/>
        <sz val="10"/>
        <rFont val="Calibri"/>
        <family val="2"/>
        <scheme val="minor"/>
      </rPr>
      <t>a,2</t>
    </r>
  </si>
  <si>
    <r>
      <t>P</t>
    </r>
    <r>
      <rPr>
        <vertAlign val="subscript"/>
        <sz val="10"/>
        <rFont val="Calibri"/>
        <family val="2"/>
        <scheme val="minor"/>
      </rPr>
      <t>a,3</t>
    </r>
  </si>
  <si>
    <r>
      <t>P</t>
    </r>
    <r>
      <rPr>
        <vertAlign val="subscript"/>
        <sz val="10"/>
        <rFont val="Calibri"/>
        <family val="2"/>
        <scheme val="minor"/>
      </rPr>
      <t>a,4</t>
    </r>
  </si>
  <si>
    <r>
      <t>P</t>
    </r>
    <r>
      <rPr>
        <vertAlign val="subscript"/>
        <sz val="10"/>
        <rFont val="Calibri"/>
        <family val="2"/>
        <scheme val="minor"/>
      </rPr>
      <t>a,5</t>
    </r>
  </si>
  <si>
    <r>
      <t>P</t>
    </r>
    <r>
      <rPr>
        <vertAlign val="subscript"/>
        <sz val="10"/>
        <rFont val="Calibri"/>
        <family val="2"/>
        <scheme val="minor"/>
      </rPr>
      <t>a,6</t>
    </r>
  </si>
  <si>
    <r>
      <t>P</t>
    </r>
    <r>
      <rPr>
        <vertAlign val="subscript"/>
        <sz val="10"/>
        <rFont val="Calibri"/>
        <family val="2"/>
        <scheme val="minor"/>
      </rPr>
      <t>b,1</t>
    </r>
  </si>
  <si>
    <r>
      <t>P</t>
    </r>
    <r>
      <rPr>
        <vertAlign val="subscript"/>
        <sz val="10"/>
        <rFont val="Calibri"/>
        <family val="2"/>
        <scheme val="minor"/>
      </rPr>
      <t>b,2</t>
    </r>
  </si>
  <si>
    <r>
      <t>P</t>
    </r>
    <r>
      <rPr>
        <vertAlign val="subscript"/>
        <sz val="10"/>
        <rFont val="Calibri"/>
        <family val="2"/>
        <scheme val="minor"/>
      </rPr>
      <t>b,3</t>
    </r>
  </si>
  <si>
    <r>
      <t>P</t>
    </r>
    <r>
      <rPr>
        <vertAlign val="subscript"/>
        <sz val="10"/>
        <rFont val="Calibri"/>
        <family val="2"/>
        <scheme val="minor"/>
      </rPr>
      <t>b,4</t>
    </r>
  </si>
  <si>
    <r>
      <t>P</t>
    </r>
    <r>
      <rPr>
        <vertAlign val="subscript"/>
        <sz val="10"/>
        <rFont val="Calibri"/>
        <family val="2"/>
        <scheme val="minor"/>
      </rPr>
      <t>b,5</t>
    </r>
  </si>
  <si>
    <r>
      <t>P</t>
    </r>
    <r>
      <rPr>
        <vertAlign val="subscript"/>
        <sz val="10"/>
        <rFont val="Calibri"/>
        <family val="2"/>
        <scheme val="minor"/>
      </rPr>
      <t>b,6</t>
    </r>
  </si>
  <si>
    <t>Percent of boarders using farebox</t>
  </si>
  <si>
    <r>
      <t>t</t>
    </r>
    <r>
      <rPr>
        <vertAlign val="subscript"/>
        <sz val="10"/>
        <rFont val="Calibri"/>
        <family val="2"/>
        <scheme val="minor"/>
      </rPr>
      <t>b,1</t>
    </r>
  </si>
  <si>
    <r>
      <t>t</t>
    </r>
    <r>
      <rPr>
        <vertAlign val="subscript"/>
        <sz val="10"/>
        <rFont val="Calibri"/>
        <family val="2"/>
        <scheme val="minor"/>
      </rPr>
      <t>a,1</t>
    </r>
  </si>
  <si>
    <r>
      <t>t</t>
    </r>
    <r>
      <rPr>
        <vertAlign val="subscript"/>
        <sz val="10"/>
        <rFont val="Calibri"/>
        <family val="2"/>
        <scheme val="minor"/>
      </rPr>
      <t>a,2</t>
    </r>
  </si>
  <si>
    <r>
      <t>t</t>
    </r>
    <r>
      <rPr>
        <vertAlign val="subscript"/>
        <sz val="10"/>
        <rFont val="Calibri"/>
        <family val="2"/>
        <scheme val="minor"/>
      </rPr>
      <t>pf,1</t>
    </r>
  </si>
  <si>
    <r>
      <t>t</t>
    </r>
    <r>
      <rPr>
        <vertAlign val="subscript"/>
        <sz val="10"/>
        <rFont val="Calibri"/>
        <family val="2"/>
        <scheme val="minor"/>
      </rPr>
      <t>pf,2</t>
    </r>
  </si>
  <si>
    <r>
      <t>t</t>
    </r>
    <r>
      <rPr>
        <vertAlign val="subscript"/>
        <sz val="10"/>
        <rFont val="Calibri"/>
        <family val="2"/>
        <scheme val="minor"/>
      </rPr>
      <t>pf,3</t>
    </r>
  </si>
  <si>
    <r>
      <t>t</t>
    </r>
    <r>
      <rPr>
        <vertAlign val="subscript"/>
        <sz val="10"/>
        <rFont val="Calibri"/>
        <family val="2"/>
        <scheme val="minor"/>
      </rPr>
      <t>pf,4</t>
    </r>
  </si>
  <si>
    <r>
      <t>t</t>
    </r>
    <r>
      <rPr>
        <vertAlign val="subscript"/>
        <sz val="10"/>
        <rFont val="Calibri"/>
        <family val="2"/>
        <scheme val="minor"/>
      </rPr>
      <t>pf,5</t>
    </r>
  </si>
  <si>
    <r>
      <t>t</t>
    </r>
    <r>
      <rPr>
        <vertAlign val="subscript"/>
        <sz val="10"/>
        <rFont val="Calibri"/>
        <family val="2"/>
        <scheme val="minor"/>
      </rPr>
      <t>pf,6</t>
    </r>
  </si>
  <si>
    <r>
      <t>t</t>
    </r>
    <r>
      <rPr>
        <vertAlign val="subscript"/>
        <sz val="10"/>
        <rFont val="Calibri"/>
        <family val="2"/>
        <scheme val="minor"/>
      </rPr>
      <t>pf,max</t>
    </r>
  </si>
  <si>
    <t>Door closing time</t>
  </si>
  <si>
    <t>Number of loading areas</t>
  </si>
  <si>
    <r>
      <t>t</t>
    </r>
    <r>
      <rPr>
        <vertAlign val="subscript"/>
        <sz val="10"/>
        <rFont val="Calibri"/>
        <family val="2"/>
        <scheme val="minor"/>
      </rPr>
      <t>bl</t>
    </r>
  </si>
  <si>
    <t>Boarding lost time</t>
  </si>
  <si>
    <r>
      <t>t</t>
    </r>
    <r>
      <rPr>
        <b/>
        <i/>
        <vertAlign val="subscript"/>
        <sz val="10"/>
        <rFont val="Calibri"/>
        <family val="2"/>
        <scheme val="minor"/>
      </rPr>
      <t>d</t>
    </r>
  </si>
  <si>
    <t>Boarding passengers through door channel 1</t>
  </si>
  <si>
    <t>Boarding passengers through door channel 2</t>
  </si>
  <si>
    <t>Boarding passengers through door channel 3</t>
  </si>
  <si>
    <t>Boarding passengers through door channel 4</t>
  </si>
  <si>
    <t>Boarding passengers through door channel 5</t>
  </si>
  <si>
    <t>Boarding passengers through door channel 6</t>
  </si>
  <si>
    <t>Alighting passengers through door channel 1</t>
  </si>
  <si>
    <t>Alighting passengers through door channel 2</t>
  </si>
  <si>
    <t>Alighting passengers through door channel 3</t>
  </si>
  <si>
    <t>Alighting passengers through door channel 4</t>
  </si>
  <si>
    <t>Alighting passengers through door channel 5</t>
  </si>
  <si>
    <t>Alighting passengers through door channel 6</t>
  </si>
  <si>
    <t>Bus Lane v/c Ratio</t>
  </si>
  <si>
    <t>Factor</t>
  </si>
  <si>
    <t>NB/EB Dwell</t>
  </si>
  <si>
    <t>SB/WB Dwell</t>
  </si>
  <si>
    <t>CBD</t>
  </si>
  <si>
    <t>Non-CBD</t>
  </si>
  <si>
    <t>Standard</t>
  </si>
  <si>
    <t>High frequency</t>
  </si>
  <si>
    <t>Traffic signal pattern</t>
  </si>
  <si>
    <t>Timed for buses</t>
  </si>
  <si>
    <t>Yes</t>
  </si>
  <si>
    <t>No</t>
  </si>
  <si>
    <t>Distance for multiple block stop pattern (feet)</t>
  </si>
  <si>
    <t>Distance for one-block stop pattern (feet)</t>
  </si>
  <si>
    <t>Bus-bus interference factor</t>
  </si>
  <si>
    <t>Bus-Bus Interference Table</t>
  </si>
  <si>
    <r>
      <t>d</t>
    </r>
    <r>
      <rPr>
        <vertAlign val="subscript"/>
        <sz val="10"/>
        <rFont val="Calibri"/>
        <family val="2"/>
        <scheme val="minor"/>
      </rPr>
      <t>1</t>
    </r>
  </si>
  <si>
    <r>
      <t>d</t>
    </r>
    <r>
      <rPr>
        <vertAlign val="subscript"/>
        <sz val="10"/>
        <rFont val="Calibri"/>
        <family val="2"/>
        <scheme val="minor"/>
      </rPr>
      <t>2</t>
    </r>
  </si>
  <si>
    <r>
      <t>t</t>
    </r>
    <r>
      <rPr>
        <vertAlign val="subscript"/>
        <sz val="10"/>
        <rFont val="Calibri"/>
        <family val="2"/>
        <scheme val="minor"/>
      </rPr>
      <t>r</t>
    </r>
  </si>
  <si>
    <r>
      <t>t</t>
    </r>
    <r>
      <rPr>
        <vertAlign val="subscript"/>
        <sz val="10"/>
        <rFont val="Calibri"/>
        <family val="2"/>
        <scheme val="minor"/>
      </rPr>
      <t>l</t>
    </r>
  </si>
  <si>
    <r>
      <t>S</t>
    </r>
    <r>
      <rPr>
        <b/>
        <i/>
        <vertAlign val="subscript"/>
        <sz val="11"/>
        <color theme="1"/>
        <rFont val="Calibri"/>
        <family val="2"/>
        <scheme val="minor"/>
      </rPr>
      <t>t</t>
    </r>
  </si>
  <si>
    <t>Lookup Lists</t>
  </si>
  <si>
    <t>Bus Stop Location Factors</t>
  </si>
  <si>
    <t>Skip-stop arrival pattern</t>
  </si>
  <si>
    <t>Efficiency of Multiple Loading Areas</t>
  </si>
  <si>
    <t>Percent Passengers Using Busiest Channel</t>
  </si>
  <si>
    <t>Estimated Base Bus Running Time Losses</t>
  </si>
  <si>
    <t>Bus stop capacity (bus/h)</t>
  </si>
  <si>
    <t>Average dwell time (s) (see Step 0 to calculate, or use default)</t>
  </si>
  <si>
    <t>Clearance time (s)</t>
  </si>
  <si>
    <t>Location (near-side at signal, far-side at signal, influenced by signal, not influenced by signal)</t>
  </si>
  <si>
    <t>No influence</t>
  </si>
  <si>
    <t>Influenced</t>
  </si>
  <si>
    <t>Version 2.0</t>
  </si>
  <si>
    <r>
      <t>t</t>
    </r>
    <r>
      <rPr>
        <vertAlign val="subscript"/>
        <sz val="10"/>
        <rFont val="Calibri"/>
        <family val="2"/>
        <scheme val="minor"/>
      </rPr>
      <t>ch</t>
    </r>
  </si>
  <si>
    <t>Critical headway for re-entry movement (s)</t>
  </si>
  <si>
    <r>
      <t>t</t>
    </r>
    <r>
      <rPr>
        <vertAlign val="subscript"/>
        <sz val="10"/>
        <rFont val="Calibri"/>
        <family val="2"/>
        <scheme val="minor"/>
      </rPr>
      <t>f</t>
    </r>
  </si>
  <si>
    <t>Follow-up time for re-entry movement (s)</t>
  </si>
  <si>
    <t>Minimum time for bus to clear bus stop (s)</t>
  </si>
  <si>
    <t>Door opening and closing time</t>
  </si>
  <si>
    <t>Average dwell time (s)</t>
  </si>
  <si>
    <r>
      <t>d</t>
    </r>
    <r>
      <rPr>
        <vertAlign val="subscript"/>
        <sz val="10"/>
        <rFont val="Calibri"/>
        <family val="2"/>
        <scheme val="minor"/>
      </rPr>
      <t>re,1</t>
    </r>
  </si>
  <si>
    <t>C</t>
  </si>
  <si>
    <t>Traffic signal cycle length (s)</t>
  </si>
  <si>
    <t>Case 1 re-entry movement capacity (veh/h)</t>
  </si>
  <si>
    <t>Case 1 re-entry delay (s)</t>
  </si>
  <si>
    <t>Case 2 queue service delay (s)</t>
  </si>
  <si>
    <r>
      <t>d</t>
    </r>
    <r>
      <rPr>
        <vertAlign val="subscript"/>
        <sz val="10"/>
        <rFont val="Calibri"/>
        <family val="2"/>
        <scheme val="minor"/>
      </rPr>
      <t>qs</t>
    </r>
  </si>
  <si>
    <r>
      <t>d</t>
    </r>
    <r>
      <rPr>
        <vertAlign val="subscript"/>
        <sz val="10"/>
        <rFont val="Calibri"/>
        <family val="2"/>
        <scheme val="minor"/>
      </rPr>
      <t>gt</t>
    </r>
  </si>
  <si>
    <t>Case 2 gap-in-traffic delay (s)</t>
  </si>
  <si>
    <r>
      <t>c</t>
    </r>
    <r>
      <rPr>
        <vertAlign val="subscript"/>
        <sz val="10"/>
        <rFont val="Calibri"/>
        <family val="2"/>
        <scheme val="minor"/>
      </rPr>
      <t>re,1</t>
    </r>
  </si>
  <si>
    <r>
      <t>c</t>
    </r>
    <r>
      <rPr>
        <vertAlign val="subscript"/>
        <sz val="10"/>
        <rFont val="Calibri"/>
        <family val="2"/>
        <scheme val="minor"/>
      </rPr>
      <t>re,2</t>
    </r>
  </si>
  <si>
    <t>Case 2 re-entry movement capacity (veh/h)</t>
  </si>
  <si>
    <t>Case 2 re-entry delay for near-side stops (s)</t>
  </si>
  <si>
    <r>
      <t>d</t>
    </r>
    <r>
      <rPr>
        <vertAlign val="subscript"/>
        <sz val="10"/>
        <rFont val="Calibri"/>
        <family val="2"/>
        <scheme val="minor"/>
      </rPr>
      <t>re,2ns</t>
    </r>
  </si>
  <si>
    <r>
      <t>d</t>
    </r>
    <r>
      <rPr>
        <vertAlign val="subscript"/>
        <sz val="10"/>
        <rFont val="Calibri"/>
        <family val="2"/>
        <scheme val="minor"/>
      </rPr>
      <t>re,2fs</t>
    </r>
  </si>
  <si>
    <t>Case 2 re-entry delay for far-side stops (s)</t>
  </si>
  <si>
    <r>
      <t>N</t>
    </r>
    <r>
      <rPr>
        <vertAlign val="subscript"/>
        <sz val="10"/>
        <color theme="1"/>
        <rFont val="Calibri"/>
        <family val="2"/>
        <scheme val="minor"/>
      </rPr>
      <t>la</t>
    </r>
  </si>
  <si>
    <t>Bus stop distance to upstream signal (ft)</t>
  </si>
  <si>
    <r>
      <t>d</t>
    </r>
    <r>
      <rPr>
        <vertAlign val="subscript"/>
        <sz val="10"/>
        <rFont val="Calibri"/>
        <family val="2"/>
        <scheme val="minor"/>
      </rPr>
      <t>re,3</t>
    </r>
  </si>
  <si>
    <t>Case 3 re-entry delay (s)</t>
  </si>
  <si>
    <t>Operating margin (s)</t>
  </si>
  <si>
    <t>Loading area capacity (bus/h)</t>
  </si>
  <si>
    <t>Stop location (near-side at signal, far-side at signal, influenced by signal, not influenced by signal)</t>
  </si>
  <si>
    <t>Metro CBD</t>
  </si>
  <si>
    <t>Metro non-CBD</t>
  </si>
  <si>
    <t>Other CBD</t>
  </si>
  <si>
    <t>Other non-CBD</t>
  </si>
  <si>
    <t>Saturation Flow Rates</t>
  </si>
  <si>
    <t>Area type (metro CBD, metro non-CBD, other CBD, other non-CBD)</t>
  </si>
  <si>
    <r>
      <t>c</t>
    </r>
    <r>
      <rPr>
        <vertAlign val="subscript"/>
        <sz val="10"/>
        <rFont val="Calibri"/>
        <family val="2"/>
        <scheme val="minor"/>
      </rPr>
      <t>th</t>
    </r>
  </si>
  <si>
    <t>Curb lane traffic volume (veh/h)</t>
  </si>
  <si>
    <r>
      <t>v</t>
    </r>
    <r>
      <rPr>
        <vertAlign val="subscript"/>
        <sz val="10"/>
        <color theme="1"/>
        <rFont val="Calibri"/>
        <family val="2"/>
        <scheme val="minor"/>
      </rPr>
      <t>rt</t>
    </r>
  </si>
  <si>
    <t>Right-turning volume (veh/h)</t>
  </si>
  <si>
    <t>Through movement capacity (veh/h)</t>
  </si>
  <si>
    <r>
      <t>c</t>
    </r>
    <r>
      <rPr>
        <vertAlign val="subscript"/>
        <sz val="10"/>
        <rFont val="Calibri"/>
        <family val="2"/>
        <scheme val="minor"/>
      </rPr>
      <t>rt</t>
    </r>
  </si>
  <si>
    <t>Right turn capacity (veh/h)</t>
  </si>
  <si>
    <r>
      <t>v</t>
    </r>
    <r>
      <rPr>
        <vertAlign val="subscript"/>
        <sz val="10"/>
        <color theme="1"/>
        <rFont val="Calibri"/>
        <family val="2"/>
        <scheme val="minor"/>
      </rPr>
      <t>ped</t>
    </r>
  </si>
  <si>
    <t>Conflicting pedestrian volume (ped/h)</t>
  </si>
  <si>
    <r>
      <t>c</t>
    </r>
    <r>
      <rPr>
        <vertAlign val="subscript"/>
        <sz val="10"/>
        <rFont val="Calibri"/>
        <family val="2"/>
        <scheme val="minor"/>
      </rPr>
      <t>cl</t>
    </r>
  </si>
  <si>
    <t>Curb lane capacity (veh/h)</t>
  </si>
  <si>
    <r>
      <t>f</t>
    </r>
    <r>
      <rPr>
        <vertAlign val="subscript"/>
        <sz val="10"/>
        <rFont val="Calibri"/>
        <family val="2"/>
        <scheme val="minor"/>
      </rPr>
      <t>tb</t>
    </r>
  </si>
  <si>
    <t>Traffic blockage adjustment factor</t>
  </si>
  <si>
    <t>Step 1: Capacity Calculations</t>
  </si>
  <si>
    <t>Bus facility capacity (bus/h)</t>
  </si>
  <si>
    <t>Loading area design capacity (bus/h)</t>
  </si>
  <si>
    <t>Bus stop maximum capacity (bus/h)</t>
  </si>
  <si>
    <r>
      <t>t</t>
    </r>
    <r>
      <rPr>
        <vertAlign val="subscript"/>
        <sz val="10"/>
        <rFont val="Calibri"/>
        <family val="2"/>
        <scheme val="minor"/>
      </rPr>
      <t>dt</t>
    </r>
  </si>
  <si>
    <t>Unimpeded bus running time (min/mi)</t>
  </si>
  <si>
    <t>Base bus running time losses (min/mi)</t>
  </si>
  <si>
    <t>Step 2: Skip-stop Operations (Optional)</t>
  </si>
  <si>
    <t>Average traffic volume in adjacent lane (veh/h)</t>
  </si>
  <si>
    <t>Design capacity of bus stop group #1 (bus/h)</t>
  </si>
  <si>
    <t>Design capacity of bus stop group #2 (bus/h)</t>
  </si>
  <si>
    <t>Design capacity of bus stop group #3 (bus/h)</t>
  </si>
  <si>
    <t>Design capacity of bus stop group #4 (bus/h)</t>
  </si>
  <si>
    <t>Arrival type factor</t>
  </si>
  <si>
    <t>Average vehicle capacity of adjacent lane (veh/h)</t>
  </si>
  <si>
    <t>Adjacent lane impedance factor</t>
  </si>
  <si>
    <t>Skip-stop capacity adjustment factor</t>
  </si>
  <si>
    <t>Step 3: Speed Calculations</t>
  </si>
  <si>
    <t>Scheduled buses per hour</t>
  </si>
  <si>
    <t>Average stop spacing (stops/mi)</t>
  </si>
  <si>
    <r>
      <t>v</t>
    </r>
    <r>
      <rPr>
        <vertAlign val="subscript"/>
        <sz val="10"/>
        <rFont val="Calibri"/>
        <family val="2"/>
        <scheme val="minor"/>
      </rPr>
      <t>max</t>
    </r>
  </si>
  <si>
    <t>Bus running speed on facility (mi/h)</t>
  </si>
  <si>
    <t>a</t>
  </si>
  <si>
    <t>d</t>
  </si>
  <si>
    <r>
      <t>Average bus acceleration rate to running speed (ft/s</t>
    </r>
    <r>
      <rPr>
        <vertAlign val="superscript"/>
        <sz val="10"/>
        <rFont val="Calibri"/>
        <family val="2"/>
        <scheme val="minor"/>
      </rPr>
      <t>2</t>
    </r>
    <r>
      <rPr>
        <sz val="10"/>
        <rFont val="Calibri"/>
        <family val="2"/>
        <scheme val="minor"/>
      </rPr>
      <t>)</t>
    </r>
  </si>
  <si>
    <r>
      <t>Average bus deceleration rate from running speed (ft/s</t>
    </r>
    <r>
      <rPr>
        <vertAlign val="superscript"/>
        <sz val="10"/>
        <rFont val="Calibri"/>
        <family val="2"/>
        <scheme val="minor"/>
      </rPr>
      <t>2</t>
    </r>
    <r>
      <rPr>
        <sz val="10"/>
        <rFont val="Calibri"/>
        <family val="2"/>
        <scheme val="minor"/>
      </rPr>
      <t>)</t>
    </r>
  </si>
  <si>
    <r>
      <t>t</t>
    </r>
    <r>
      <rPr>
        <vertAlign val="subscript"/>
        <sz val="10"/>
        <rFont val="Calibri"/>
        <family val="2"/>
        <scheme val="minor"/>
      </rPr>
      <t>acc</t>
    </r>
  </si>
  <si>
    <r>
      <t>t</t>
    </r>
    <r>
      <rPr>
        <vertAlign val="subscript"/>
        <sz val="10"/>
        <rFont val="Calibri"/>
        <family val="2"/>
        <scheme val="minor"/>
      </rPr>
      <t>dec</t>
    </r>
  </si>
  <si>
    <t>Skip-stop operation? (If "Yes", complete Step 2 first)</t>
  </si>
  <si>
    <r>
      <t>L</t>
    </r>
    <r>
      <rPr>
        <vertAlign val="subscript"/>
        <sz val="10"/>
        <rFont val="Calibri"/>
        <family val="2"/>
        <scheme val="minor"/>
      </rPr>
      <t>ad</t>
    </r>
  </si>
  <si>
    <t>Distance traveled at less than running speed (ft/stop)</t>
  </si>
  <si>
    <t>Acceleration time (s/stop)</t>
  </si>
  <si>
    <t>Deceleration time (s/stop)</t>
  </si>
  <si>
    <t>Acceleration/deceleration distance per mile (ft/mi)</t>
  </si>
  <si>
    <r>
      <t>L</t>
    </r>
    <r>
      <rPr>
        <vertAlign val="subscript"/>
        <sz val="10"/>
        <rFont val="Calibri"/>
        <family val="2"/>
        <scheme val="minor"/>
      </rPr>
      <t>rs</t>
    </r>
  </si>
  <si>
    <t>Distance traveled at running speed per mile (ft/mi)</t>
  </si>
  <si>
    <r>
      <t>t</t>
    </r>
    <r>
      <rPr>
        <vertAlign val="subscript"/>
        <sz val="10"/>
        <rFont val="Calibri"/>
        <family val="2"/>
        <scheme val="minor"/>
      </rPr>
      <t>rs</t>
    </r>
  </si>
  <si>
    <t>Time spent at running speed per mile (s/mi)</t>
  </si>
  <si>
    <r>
      <t>t</t>
    </r>
    <r>
      <rPr>
        <vertAlign val="subscript"/>
        <sz val="10"/>
        <rFont val="Calibri"/>
        <family val="2"/>
        <scheme val="minor"/>
      </rPr>
      <t>u</t>
    </r>
  </si>
  <si>
    <t>Running way type</t>
  </si>
  <si>
    <t>Mixed traffic</t>
  </si>
  <si>
    <t>Bus lane w/blockage</t>
  </si>
  <si>
    <t>More frequent than stops</t>
  </si>
  <si>
    <t>Bus lane, no right turns</t>
  </si>
  <si>
    <t>Bus lane w/right turns</t>
  </si>
  <si>
    <t>No RTs</t>
  </si>
  <si>
    <t>RTs</t>
  </si>
  <si>
    <t>Blockage</t>
  </si>
  <si>
    <t>Frequent signals</t>
  </si>
  <si>
    <t>Base bus running time rate (min/mi)</t>
  </si>
  <si>
    <t>Average Travel Speed (mi/h)</t>
  </si>
  <si>
    <t>Average boarding service time for door channel 1 (s)</t>
  </si>
  <si>
    <t>Average alighting service time for door channel 1 (s)</t>
  </si>
  <si>
    <t>Average alighting service time for door channel 2 (s)</t>
  </si>
  <si>
    <t>Passenger flow time for door channel 1 (s)</t>
  </si>
  <si>
    <t>Passenger flow time for door channel 2 (s)</t>
  </si>
  <si>
    <t>Passenger flow time for door channel 3 (s)</t>
  </si>
  <si>
    <t>Passenger flow time for door channel 4 (s)</t>
  </si>
  <si>
    <t>Passenger flow time for door channel 5 (s)</t>
  </si>
  <si>
    <t>Passenger flow time for door channel 6 (s)</t>
  </si>
  <si>
    <t>Fare payment method</t>
  </si>
  <si>
    <t>Smart card</t>
  </si>
  <si>
    <t>None</t>
  </si>
  <si>
    <t>Visual inspection</t>
  </si>
  <si>
    <t>Single ticket/token</t>
  </si>
  <si>
    <t>Exact change</t>
  </si>
  <si>
    <t>Ticket validator</t>
  </si>
  <si>
    <t>Magstripe card</t>
  </si>
  <si>
    <t>User-defined</t>
  </si>
  <si>
    <t>Fare payment times (s/p):</t>
  </si>
  <si>
    <t>Boarding height</t>
  </si>
  <si>
    <t>Level</t>
  </si>
  <si>
    <t>Stairs</t>
  </si>
  <si>
    <t>Steep stairs</t>
  </si>
  <si>
    <t>Standees present?</t>
  </si>
  <si>
    <t>Number of doors</t>
  </si>
  <si>
    <t>Front door</t>
  </si>
  <si>
    <t>Boarding door(s)</t>
  </si>
  <si>
    <t>Front</t>
  </si>
  <si>
    <t>All</t>
  </si>
  <si>
    <r>
      <t>t</t>
    </r>
    <r>
      <rPr>
        <vertAlign val="subscript"/>
        <sz val="10"/>
        <rFont val="Calibri"/>
        <family val="2"/>
        <scheme val="minor"/>
      </rPr>
      <t>b,2</t>
    </r>
  </si>
  <si>
    <t>Average boarding service time for door channel 2 (s)</t>
  </si>
  <si>
    <t>Average boarding service time for door channel 3 (s)</t>
  </si>
  <si>
    <t>Average boarding service time for door channels 4-6 (s)</t>
  </si>
  <si>
    <r>
      <t>t</t>
    </r>
    <r>
      <rPr>
        <vertAlign val="subscript"/>
        <sz val="10"/>
        <rFont val="Calibri"/>
        <family val="2"/>
        <scheme val="minor"/>
      </rPr>
      <t>b,4-6</t>
    </r>
  </si>
  <si>
    <r>
      <t>t</t>
    </r>
    <r>
      <rPr>
        <vertAlign val="subscript"/>
        <sz val="10"/>
        <rFont val="Calibri"/>
        <family val="2"/>
        <scheme val="minor"/>
      </rPr>
      <t>b,3</t>
    </r>
  </si>
  <si>
    <r>
      <t>t</t>
    </r>
    <r>
      <rPr>
        <vertAlign val="subscript"/>
        <sz val="10"/>
        <rFont val="Calibri"/>
        <family val="2"/>
        <scheme val="minor"/>
      </rPr>
      <t>a,3</t>
    </r>
  </si>
  <si>
    <t>Average alighting service time for door channel 3 (s)</t>
  </si>
  <si>
    <r>
      <t>t</t>
    </r>
    <r>
      <rPr>
        <vertAlign val="subscript"/>
        <sz val="10"/>
        <rFont val="Calibri"/>
        <family val="2"/>
        <scheme val="minor"/>
      </rPr>
      <t>a,4-6</t>
    </r>
  </si>
  <si>
    <t>Average alighting service time for door channels 4-6 (s)</t>
  </si>
  <si>
    <t>Alighting times (s/p):</t>
  </si>
  <si>
    <t>Rear door</t>
  </si>
  <si>
    <t>Alighting with smart card check-out</t>
  </si>
  <si>
    <t>Boarding lost time (s)</t>
  </si>
  <si>
    <t>Maximum passenger flow time of all door channels (s)</t>
  </si>
  <si>
    <r>
      <t>B</t>
    </r>
    <r>
      <rPr>
        <vertAlign val="subscript"/>
        <sz val="10"/>
        <rFont val="Calibri"/>
        <family val="2"/>
        <scheme val="minor"/>
      </rPr>
      <t>1,max</t>
    </r>
  </si>
  <si>
    <r>
      <t>B</t>
    </r>
    <r>
      <rPr>
        <vertAlign val="subscript"/>
        <sz val="10"/>
        <rFont val="Calibri"/>
        <family val="2"/>
        <scheme val="minor"/>
      </rPr>
      <t>2,max</t>
    </r>
  </si>
  <si>
    <r>
      <t>B</t>
    </r>
    <r>
      <rPr>
        <vertAlign val="subscript"/>
        <sz val="10"/>
        <rFont val="Calibri"/>
        <family val="2"/>
        <scheme val="minor"/>
      </rPr>
      <t>3,max</t>
    </r>
  </si>
  <si>
    <r>
      <t>B</t>
    </r>
    <r>
      <rPr>
        <vertAlign val="subscript"/>
        <sz val="10"/>
        <rFont val="Calibri"/>
        <family val="2"/>
        <scheme val="minor"/>
      </rPr>
      <t>4,max</t>
    </r>
  </si>
  <si>
    <t>Maximum capacity of bus stop group #1 (bus/h)</t>
  </si>
  <si>
    <t>Maximum capacity of bus stop group #2 (bus/h)</t>
  </si>
  <si>
    <t>Maximum capacity of bus stop group #3 (bus/h)</t>
  </si>
  <si>
    <t>Maximum capacity of bus stop group #4 (bus/h)</t>
  </si>
  <si>
    <t>Bus facility design capacity (bus/h)</t>
  </si>
  <si>
    <r>
      <t>B</t>
    </r>
    <r>
      <rPr>
        <b/>
        <vertAlign val="subscript"/>
        <sz val="10"/>
        <rFont val="Calibri"/>
        <family val="2"/>
        <scheme val="minor"/>
      </rPr>
      <t>max</t>
    </r>
  </si>
  <si>
    <t>Bus facility maximum capacity (bus/h)</t>
  </si>
  <si>
    <r>
      <t>f</t>
    </r>
    <r>
      <rPr>
        <vertAlign val="subscript"/>
        <sz val="10"/>
        <rFont val="Calibri"/>
        <family val="2"/>
        <scheme val="minor"/>
      </rPr>
      <t>s</t>
    </r>
  </si>
  <si>
    <t>Stop pattern adjustment factor</t>
  </si>
  <si>
    <t>Bus volume to maximum capacity ratio</t>
  </si>
  <si>
    <r>
      <t>v</t>
    </r>
    <r>
      <rPr>
        <vertAlign val="subscript"/>
        <sz val="10"/>
        <rFont val="Calibri"/>
        <family val="2"/>
        <scheme val="minor"/>
      </rPr>
      <t>b</t>
    </r>
    <r>
      <rPr>
        <sz val="10"/>
        <rFont val="Calibri"/>
        <family val="2"/>
        <scheme val="minor"/>
      </rPr>
      <t>/B</t>
    </r>
    <r>
      <rPr>
        <vertAlign val="subscript"/>
        <sz val="10"/>
        <rFont val="Calibri"/>
        <family val="2"/>
        <scheme val="minor"/>
      </rPr>
      <t>max</t>
    </r>
  </si>
  <si>
    <r>
      <t>t</t>
    </r>
    <r>
      <rPr>
        <vertAlign val="subscript"/>
        <sz val="10"/>
        <rFont val="Calibri"/>
        <family val="2"/>
        <scheme val="minor"/>
      </rPr>
      <t>su</t>
    </r>
  </si>
  <si>
    <r>
      <t>f</t>
    </r>
    <r>
      <rPr>
        <vertAlign val="subscript"/>
        <sz val="10"/>
        <rFont val="Calibri"/>
        <family val="2"/>
        <scheme val="minor"/>
      </rPr>
      <t>bb</t>
    </r>
  </si>
  <si>
    <r>
      <t>v</t>
    </r>
    <r>
      <rPr>
        <vertAlign val="subscript"/>
        <sz val="10"/>
        <rFont val="Calibri"/>
        <family val="2"/>
        <scheme val="minor"/>
      </rPr>
      <t>al</t>
    </r>
  </si>
  <si>
    <r>
      <t>c</t>
    </r>
    <r>
      <rPr>
        <vertAlign val="subscript"/>
        <sz val="10"/>
        <rFont val="Calibri"/>
        <family val="2"/>
        <scheme val="minor"/>
      </rPr>
      <t>al</t>
    </r>
  </si>
  <si>
    <t>The procedures provided in this spreadsheet automate the bus capacity and speed calculation methods given in Chapter 6 of the TCQSM, 3rd Edition. The spreadsheet allows the analysis of both directions of a facility consisting of up to 20 bus stops. For longer facilities, divide the facility into sections and use one copy of the spreadsheet for each section.</t>
  </si>
  <si>
    <t>This spreadsheet assumes the user is already familiar with Chapter 6 of the TCQSM.</t>
  </si>
  <si>
    <t>This sheet allows average dwell times to be calculated based on passenger on/off demand, fare collection method, and vehicle characteristics (e.g., floor height, number of doors). This step is optional--the user can simply enter an average dwell time in Step 1.</t>
  </si>
  <si>
    <t>This sheet calculates the bus capacity of individual stops along a facility, along with the overall facility capacity, for both directions of a facility.</t>
  </si>
  <si>
    <t>This optional sheet is used to estimate bus facility capacity (both design and maximum capacity) when skip-stop operations are used.</t>
  </si>
  <si>
    <t>Step 3: Calculate Bus Speeds</t>
  </si>
  <si>
    <t>This sheet calculates average bus speeds in both directions along the facility. Because capacity is an input to determining speeds, Step 1 must be completed first, along with Step 2 if skip-stops are being analyzed.</t>
  </si>
  <si>
    <t>Default Values</t>
  </si>
  <si>
    <t>This sheet contains default values that the user can override based on local conditions. The default values affect the calculation of clearance time (Step 1) and passenger service time (Step 0).</t>
  </si>
  <si>
    <t>This sheet stores the values used by drop-down menus in Steps 0-3, along with other values used in calculations.</t>
  </si>
  <si>
    <t>Revision History</t>
  </si>
  <si>
    <t>This sheet describes the changes made with each spreadsheet version.</t>
  </si>
  <si>
    <t>Bus Stop and Facility Capacity and Speed Computational Engine</t>
  </si>
  <si>
    <t>This spreadsheet is provided as-is, without support or warranty as to its accuracy, completeness, or reliability. No responsibility is assumed by TCRP or the developers for incorrect results or damages resulting from the use of this spreadsheet.</t>
  </si>
  <si>
    <t>Lookup (hidden)</t>
  </si>
  <si>
    <t>Version 2.0 (March 15, 2013)</t>
  </si>
  <si>
    <t>Final TCQSM version</t>
  </si>
</sst>
</file>

<file path=xl/styles.xml><?xml version="1.0" encoding="utf-8"?>
<styleSheet xmlns="http://schemas.openxmlformats.org/spreadsheetml/2006/main">
  <numFmts count="5">
    <numFmt numFmtId="43" formatCode="_(* #,##0.00_);_(* \(#,##0.00\);_(* &quot;-&quot;??_);_(@_)"/>
    <numFmt numFmtId="164" formatCode="0.0%"/>
    <numFmt numFmtId="165" formatCode="0.0"/>
    <numFmt numFmtId="166" formatCode="_(* #,##0_);_(* \(#,##0\);_(* &quot;-&quot;??_);_(@_)"/>
    <numFmt numFmtId="167" formatCode="0.0000"/>
  </numFmts>
  <fonts count="25">
    <font>
      <sz val="10"/>
      <name val="Arial"/>
    </font>
    <font>
      <sz val="10"/>
      <name val="Arial"/>
      <family val="2"/>
    </font>
    <font>
      <sz val="10"/>
      <name val="Arial"/>
      <family val="2"/>
    </font>
    <font>
      <sz val="10"/>
      <name val="Calibri"/>
      <family val="2"/>
      <scheme val="minor"/>
    </font>
    <font>
      <b/>
      <sz val="10"/>
      <name val="Calibri"/>
      <family val="2"/>
      <scheme val="minor"/>
    </font>
    <font>
      <sz val="12"/>
      <color theme="0"/>
      <name val="Calibri"/>
      <family val="2"/>
      <scheme val="minor"/>
    </font>
    <font>
      <sz val="10"/>
      <color theme="0"/>
      <name val="Calibri"/>
      <family val="2"/>
      <scheme val="minor"/>
    </font>
    <font>
      <b/>
      <sz val="10"/>
      <color theme="0"/>
      <name val="Calibri"/>
      <family val="2"/>
      <scheme val="minor"/>
    </font>
    <font>
      <vertAlign val="subscript"/>
      <sz val="11"/>
      <color theme="1"/>
      <name val="Calibri"/>
      <family val="2"/>
      <scheme val="minor"/>
    </font>
    <font>
      <vertAlign val="subscript"/>
      <sz val="10"/>
      <color theme="1"/>
      <name val="Calibri"/>
      <family val="2"/>
      <scheme val="minor"/>
    </font>
    <font>
      <b/>
      <sz val="12"/>
      <name val="Calibri"/>
      <family val="2"/>
      <scheme val="minor"/>
    </font>
    <font>
      <b/>
      <sz val="12"/>
      <color theme="0"/>
      <name val="Calibri"/>
      <family val="2"/>
      <scheme val="minor"/>
    </font>
    <font>
      <sz val="10"/>
      <color theme="0"/>
      <name val="Arial"/>
      <family val="2"/>
    </font>
    <font>
      <b/>
      <i/>
      <sz val="10"/>
      <name val="Calibri"/>
      <family val="2"/>
      <scheme val="minor"/>
    </font>
    <font>
      <b/>
      <i/>
      <vertAlign val="subscript"/>
      <sz val="11"/>
      <color theme="1"/>
      <name val="Calibri"/>
      <family val="2"/>
      <scheme val="minor"/>
    </font>
    <font>
      <vertAlign val="subscript"/>
      <sz val="10"/>
      <name val="Calibri"/>
      <family val="2"/>
      <scheme val="minor"/>
    </font>
    <font>
      <b/>
      <i/>
      <vertAlign val="subscript"/>
      <sz val="10"/>
      <name val="Calibri"/>
      <family val="2"/>
      <scheme val="minor"/>
    </font>
    <font>
      <b/>
      <sz val="10"/>
      <color theme="0"/>
      <name val="Arial"/>
      <family val="2"/>
    </font>
    <font>
      <b/>
      <sz val="10"/>
      <name val="Arial"/>
      <family val="2"/>
    </font>
    <font>
      <vertAlign val="superscript"/>
      <sz val="10"/>
      <name val="Calibri"/>
      <family val="2"/>
      <scheme val="minor"/>
    </font>
    <font>
      <sz val="10"/>
      <color rgb="FFFF0000"/>
      <name val="Calibri"/>
      <family val="2"/>
      <scheme val="minor"/>
    </font>
    <font>
      <sz val="10"/>
      <color rgb="FFFF0000"/>
      <name val="Arial"/>
      <family val="2"/>
    </font>
    <font>
      <b/>
      <i/>
      <sz val="10"/>
      <color theme="0"/>
      <name val="Calibri"/>
      <family val="2"/>
      <scheme val="minor"/>
    </font>
    <font>
      <sz val="8"/>
      <name val="Calibri"/>
      <family val="2"/>
      <scheme val="minor"/>
    </font>
    <font>
      <b/>
      <vertAlign val="subscript"/>
      <sz val="10"/>
      <name val="Calibri"/>
      <family val="2"/>
      <scheme val="minor"/>
    </font>
  </fonts>
  <fills count="5">
    <fill>
      <patternFill patternType="none"/>
    </fill>
    <fill>
      <patternFill patternType="gray125"/>
    </fill>
    <fill>
      <patternFill patternType="solid">
        <fgColor theme="3"/>
        <bgColor indexed="64"/>
      </patternFill>
    </fill>
    <fill>
      <patternFill patternType="solid">
        <fgColor theme="4" tint="0.59999389629810485"/>
        <bgColor indexed="64"/>
      </patternFill>
    </fill>
    <fill>
      <patternFill patternType="solid">
        <fgColor theme="6" tint="0.59999389629810485"/>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9">
    <xf numFmtId="0" fontId="0" fillId="0" borderId="0" xfId="0"/>
    <xf numFmtId="164" fontId="0" fillId="0" borderId="0" xfId="0" applyNumberFormat="1"/>
    <xf numFmtId="0" fontId="0" fillId="0" borderId="0" xfId="0" applyAlignment="1">
      <alignment horizontal="right"/>
    </xf>
    <xf numFmtId="0" fontId="2" fillId="0" borderId="0" xfId="0" applyFont="1"/>
    <xf numFmtId="0" fontId="3" fillId="0" borderId="0" xfId="0" applyFont="1"/>
    <xf numFmtId="0" fontId="3" fillId="0" borderId="0" xfId="0" applyFont="1" applyAlignment="1"/>
    <xf numFmtId="0" fontId="0" fillId="0" borderId="1" xfId="0" applyBorder="1"/>
    <xf numFmtId="0" fontId="0" fillId="0" borderId="2" xfId="0" applyBorder="1"/>
    <xf numFmtId="0" fontId="0" fillId="0" borderId="3" xfId="0" applyBorder="1"/>
    <xf numFmtId="0" fontId="0" fillId="0" borderId="4" xfId="0" applyBorder="1"/>
    <xf numFmtId="0" fontId="3" fillId="0" borderId="0" xfId="0" applyFont="1" applyBorder="1"/>
    <xf numFmtId="0" fontId="3" fillId="0" borderId="5" xfId="0" applyFont="1" applyBorder="1"/>
    <xf numFmtId="0" fontId="3" fillId="0" borderId="4" xfId="0" applyFont="1" applyBorder="1"/>
    <xf numFmtId="0" fontId="0" fillId="0" borderId="0" xfId="0" applyBorder="1"/>
    <xf numFmtId="0" fontId="3" fillId="0" borderId="6" xfId="0" applyFont="1" applyBorder="1"/>
    <xf numFmtId="0" fontId="3" fillId="0" borderId="7" xfId="0" applyFont="1" applyBorder="1"/>
    <xf numFmtId="0" fontId="3" fillId="0" borderId="8" xfId="0" applyFont="1" applyBorder="1"/>
    <xf numFmtId="0" fontId="7" fillId="2" borderId="0" xfId="0" applyFont="1" applyFill="1" applyBorder="1"/>
    <xf numFmtId="0" fontId="6" fillId="2" borderId="0" xfId="0" applyFont="1" applyFill="1" applyBorder="1"/>
    <xf numFmtId="0" fontId="3" fillId="0" borderId="0" xfId="0" applyFont="1" applyBorder="1" applyAlignment="1">
      <alignment horizontal="right"/>
    </xf>
    <xf numFmtId="1" fontId="3" fillId="0" borderId="0" xfId="0" applyNumberFormat="1" applyFont="1" applyBorder="1"/>
    <xf numFmtId="0" fontId="0" fillId="0" borderId="5" xfId="0" applyBorder="1"/>
    <xf numFmtId="0" fontId="0" fillId="0" borderId="6" xfId="0" applyBorder="1"/>
    <xf numFmtId="0" fontId="0" fillId="0" borderId="7" xfId="0" applyBorder="1"/>
    <xf numFmtId="0" fontId="0" fillId="0" borderId="8" xfId="0" applyBorder="1"/>
    <xf numFmtId="0" fontId="10" fillId="0" borderId="0" xfId="0" applyFont="1" applyBorder="1"/>
    <xf numFmtId="0" fontId="3" fillId="2" borderId="0" xfId="0" applyFont="1" applyFill="1" applyBorder="1"/>
    <xf numFmtId="0" fontId="11" fillId="2" borderId="0" xfId="0" applyFont="1" applyFill="1" applyBorder="1"/>
    <xf numFmtId="0" fontId="12" fillId="2" borderId="0" xfId="0" applyFont="1" applyFill="1" applyBorder="1"/>
    <xf numFmtId="0" fontId="3" fillId="2" borderId="0" xfId="0" applyFont="1" applyFill="1" applyBorder="1" applyAlignment="1">
      <alignment horizontal="right"/>
    </xf>
    <xf numFmtId="1" fontId="7" fillId="2" borderId="0" xfId="0" applyNumberFormat="1" applyFont="1" applyFill="1" applyBorder="1"/>
    <xf numFmtId="0" fontId="3" fillId="3" borderId="0" xfId="0" applyFont="1" applyFill="1" applyBorder="1"/>
    <xf numFmtId="1" fontId="13" fillId="3" borderId="0" xfId="0" applyNumberFormat="1" applyFont="1" applyFill="1" applyBorder="1"/>
    <xf numFmtId="0" fontId="4" fillId="3" borderId="0" xfId="0" applyFont="1" applyFill="1" applyBorder="1"/>
    <xf numFmtId="0" fontId="13" fillId="3" borderId="0" xfId="0" applyFont="1" applyFill="1" applyBorder="1"/>
    <xf numFmtId="0" fontId="3" fillId="3" borderId="0" xfId="0" applyFont="1" applyFill="1" applyBorder="1" applyAlignment="1">
      <alignment horizontal="right"/>
    </xf>
    <xf numFmtId="165" fontId="3" fillId="3" borderId="0" xfId="0" applyNumberFormat="1" applyFont="1" applyFill="1" applyBorder="1" applyAlignment="1">
      <alignment horizontal="right"/>
    </xf>
    <xf numFmtId="1" fontId="3" fillId="3" borderId="0" xfId="0" applyNumberFormat="1" applyFont="1" applyFill="1" applyBorder="1"/>
    <xf numFmtId="0" fontId="3" fillId="4" borderId="0" xfId="0" applyFont="1" applyFill="1" applyBorder="1"/>
    <xf numFmtId="0" fontId="3" fillId="4" borderId="0" xfId="0" applyFont="1" applyFill="1" applyBorder="1" applyAlignment="1">
      <alignment horizontal="left"/>
    </xf>
    <xf numFmtId="164" fontId="3" fillId="4" borderId="0" xfId="0" applyNumberFormat="1" applyFont="1" applyFill="1" applyBorder="1" applyAlignment="1">
      <alignment horizontal="right"/>
    </xf>
    <xf numFmtId="0" fontId="3" fillId="4" borderId="0" xfId="0" applyFont="1" applyFill="1" applyBorder="1" applyAlignment="1">
      <alignment horizontal="right"/>
    </xf>
    <xf numFmtId="2" fontId="3" fillId="4" borderId="0" xfId="0" applyNumberFormat="1" applyFont="1" applyFill="1" applyBorder="1" applyAlignment="1">
      <alignment horizontal="right"/>
    </xf>
    <xf numFmtId="0" fontId="7" fillId="2" borderId="0" xfId="0" applyFont="1" applyFill="1" applyBorder="1" applyAlignment="1">
      <alignment horizontal="center"/>
    </xf>
    <xf numFmtId="0" fontId="7" fillId="2" borderId="0" xfId="0" applyFont="1" applyFill="1" applyBorder="1" applyAlignment="1">
      <alignment horizontal="right"/>
    </xf>
    <xf numFmtId="2" fontId="3" fillId="3" borderId="0" xfId="0" applyNumberFormat="1" applyFont="1" applyFill="1" applyBorder="1" applyAlignment="1">
      <alignment horizontal="right"/>
    </xf>
    <xf numFmtId="1" fontId="4" fillId="3" borderId="0" xfId="0" applyNumberFormat="1" applyFont="1" applyFill="1" applyBorder="1" applyAlignment="1">
      <alignment horizontal="right"/>
    </xf>
    <xf numFmtId="1" fontId="0" fillId="0" borderId="0" xfId="0" applyNumberFormat="1"/>
    <xf numFmtId="0" fontId="11" fillId="2" borderId="0" xfId="0" applyFont="1" applyFill="1"/>
    <xf numFmtId="1" fontId="3" fillId="3" borderId="0" xfId="0" applyNumberFormat="1" applyFont="1" applyFill="1" applyBorder="1" applyAlignment="1">
      <alignment horizontal="right"/>
    </xf>
    <xf numFmtId="166" fontId="3" fillId="4" borderId="0" xfId="1" applyNumberFormat="1" applyFont="1" applyFill="1" applyBorder="1" applyAlignment="1">
      <alignment horizontal="right"/>
    </xf>
    <xf numFmtId="9" fontId="3" fillId="4" borderId="0" xfId="2" applyFont="1" applyFill="1" applyBorder="1" applyAlignment="1">
      <alignment horizontal="right"/>
    </xf>
    <xf numFmtId="0" fontId="0" fillId="0" borderId="0" xfId="0" applyAlignment="1">
      <alignment horizontal="center"/>
    </xf>
    <xf numFmtId="2" fontId="0" fillId="0" borderId="0" xfId="0" applyNumberFormat="1" applyAlignment="1">
      <alignment horizontal="center"/>
    </xf>
    <xf numFmtId="0" fontId="0" fillId="0" borderId="0" xfId="0" applyAlignment="1">
      <alignment horizontal="center"/>
    </xf>
    <xf numFmtId="1" fontId="13" fillId="3" borderId="0" xfId="0" applyNumberFormat="1" applyFont="1" applyFill="1" applyBorder="1" applyAlignment="1">
      <alignment horizontal="right"/>
    </xf>
    <xf numFmtId="0" fontId="0" fillId="0" borderId="0" xfId="0" applyBorder="1" applyAlignment="1">
      <alignment horizontal="right"/>
    </xf>
    <xf numFmtId="0" fontId="13" fillId="3" borderId="0" xfId="0" applyFont="1" applyFill="1" applyBorder="1" applyAlignment="1">
      <alignment horizontal="left"/>
    </xf>
    <xf numFmtId="0" fontId="0" fillId="0" borderId="2" xfId="0" applyBorder="1" applyAlignment="1">
      <alignment horizontal="right"/>
    </xf>
    <xf numFmtId="0" fontId="17" fillId="2" borderId="0" xfId="0" applyFont="1" applyFill="1" applyBorder="1"/>
    <xf numFmtId="0" fontId="0" fillId="0" borderId="7" xfId="0" applyBorder="1" applyAlignment="1">
      <alignment horizontal="right"/>
    </xf>
    <xf numFmtId="0" fontId="18" fillId="0" borderId="0" xfId="0" applyFont="1"/>
    <xf numFmtId="1" fontId="3" fillId="4" borderId="0" xfId="0" applyNumberFormat="1" applyFont="1" applyFill="1" applyBorder="1" applyAlignment="1">
      <alignment horizontal="right"/>
    </xf>
    <xf numFmtId="0" fontId="1" fillId="0" borderId="0" xfId="0" applyFont="1"/>
    <xf numFmtId="0" fontId="0" fillId="0" borderId="4" xfId="0" applyBorder="1" applyAlignment="1">
      <alignment wrapText="1"/>
    </xf>
    <xf numFmtId="0" fontId="3" fillId="4" borderId="0" xfId="0" applyFont="1" applyFill="1" applyBorder="1" applyAlignment="1">
      <alignment wrapText="1"/>
    </xf>
    <xf numFmtId="0" fontId="3" fillId="4" borderId="0" xfId="0" applyFont="1" applyFill="1" applyBorder="1" applyAlignment="1">
      <alignment horizontal="right" wrapText="1"/>
    </xf>
    <xf numFmtId="0" fontId="0" fillId="0" borderId="5" xfId="0" applyBorder="1" applyAlignment="1">
      <alignment wrapText="1"/>
    </xf>
    <xf numFmtId="0" fontId="0" fillId="0" borderId="0" xfId="0" applyAlignment="1">
      <alignment wrapText="1"/>
    </xf>
    <xf numFmtId="165" fontId="3" fillId="4" borderId="0" xfId="0" applyNumberFormat="1" applyFont="1" applyFill="1" applyBorder="1" applyAlignment="1">
      <alignment horizontal="right"/>
    </xf>
    <xf numFmtId="0" fontId="0" fillId="0" borderId="0" xfId="0" applyAlignment="1">
      <alignment horizontal="left"/>
    </xf>
    <xf numFmtId="1" fontId="13" fillId="0" borderId="0" xfId="0" applyNumberFormat="1" applyFont="1" applyFill="1" applyBorder="1" applyAlignment="1">
      <alignment horizontal="right"/>
    </xf>
    <xf numFmtId="0" fontId="6" fillId="0" borderId="0" xfId="0" applyFont="1" applyBorder="1"/>
    <xf numFmtId="1" fontId="6" fillId="0" borderId="0" xfId="0" applyNumberFormat="1" applyFont="1" applyFill="1" applyBorder="1"/>
    <xf numFmtId="165" fontId="20" fillId="3" borderId="0" xfId="0" applyNumberFormat="1" applyFont="1" applyFill="1" applyBorder="1" applyAlignment="1">
      <alignment horizontal="right"/>
    </xf>
    <xf numFmtId="0" fontId="21" fillId="0" borderId="0" xfId="0" applyFont="1"/>
    <xf numFmtId="165" fontId="13" fillId="3" borderId="0" xfId="0" applyNumberFormat="1" applyFont="1" applyFill="1" applyBorder="1" applyAlignment="1">
      <alignment horizontal="right"/>
    </xf>
    <xf numFmtId="37" fontId="3" fillId="4" borderId="0" xfId="1" applyNumberFormat="1" applyFont="1" applyFill="1" applyBorder="1" applyAlignment="1">
      <alignment horizontal="right"/>
    </xf>
    <xf numFmtId="1" fontId="6" fillId="0" borderId="0" xfId="0" applyNumberFormat="1" applyFont="1" applyFill="1" applyBorder="1" applyAlignment="1">
      <alignment horizontal="right"/>
    </xf>
    <xf numFmtId="1" fontId="22" fillId="0" borderId="0" xfId="0" applyNumberFormat="1" applyFont="1" applyFill="1" applyBorder="1" applyAlignment="1">
      <alignment horizontal="right"/>
    </xf>
    <xf numFmtId="164" fontId="23" fillId="4" borderId="0" xfId="0" applyNumberFormat="1" applyFont="1" applyFill="1" applyBorder="1" applyAlignment="1">
      <alignment horizontal="right" wrapText="1"/>
    </xf>
    <xf numFmtId="0" fontId="4" fillId="0" borderId="0" xfId="0" applyFont="1"/>
    <xf numFmtId="1" fontId="23" fillId="4" borderId="0" xfId="0" applyNumberFormat="1" applyFont="1" applyFill="1" applyBorder="1" applyAlignment="1">
      <alignment horizontal="right" wrapText="1"/>
    </xf>
    <xf numFmtId="167" fontId="0" fillId="0" borderId="0" xfId="0" applyNumberFormat="1"/>
    <xf numFmtId="0" fontId="3" fillId="3" borderId="0" xfId="0" applyFont="1" applyFill="1" applyBorder="1" applyAlignment="1">
      <alignment horizontal="left" wrapText="1"/>
    </xf>
    <xf numFmtId="0" fontId="13" fillId="3" borderId="0" xfId="0" applyFont="1" applyFill="1" applyBorder="1" applyAlignment="1">
      <alignment horizontal="left" vertical="center"/>
    </xf>
    <xf numFmtId="14" fontId="13" fillId="3" borderId="0" xfId="0" applyNumberFormat="1" applyFont="1" applyFill="1" applyBorder="1" applyAlignment="1">
      <alignment horizontal="right" vertical="center"/>
    </xf>
    <xf numFmtId="0" fontId="5" fillId="2" borderId="0" xfId="0" applyFont="1" applyFill="1" applyBorder="1" applyAlignment="1">
      <alignment horizontal="center"/>
    </xf>
    <xf numFmtId="0" fontId="6" fillId="2" borderId="0" xfId="0" applyFont="1" applyFill="1" applyBorder="1" applyAlignment="1">
      <alignment horizontal="center"/>
    </xf>
    <xf numFmtId="0" fontId="3" fillId="3" borderId="0" xfId="0" applyFont="1" applyFill="1" applyBorder="1" applyAlignment="1">
      <alignment horizontal="left" vertical="top" wrapText="1"/>
    </xf>
    <xf numFmtId="0" fontId="3" fillId="3" borderId="0" xfId="0" applyFont="1" applyFill="1" applyBorder="1" applyAlignment="1">
      <alignment vertical="top" wrapText="1"/>
    </xf>
    <xf numFmtId="0" fontId="0" fillId="3" borderId="0" xfId="0" applyFill="1" applyAlignment="1">
      <alignment vertical="top" wrapText="1"/>
    </xf>
    <xf numFmtId="0" fontId="0" fillId="0" borderId="0" xfId="0" applyAlignment="1">
      <alignment vertical="top" wrapText="1"/>
    </xf>
    <xf numFmtId="0" fontId="3" fillId="3" borderId="0" xfId="0" applyFont="1" applyFill="1" applyBorder="1" applyAlignment="1">
      <alignment horizontal="left" wrapText="1"/>
    </xf>
    <xf numFmtId="0" fontId="4" fillId="3" borderId="0" xfId="0" applyFont="1" applyFill="1" applyBorder="1" applyAlignment="1">
      <alignment horizontal="left" wrapText="1"/>
    </xf>
    <xf numFmtId="0" fontId="4" fillId="0" borderId="0" xfId="0" applyFont="1" applyBorder="1" applyAlignment="1">
      <alignment horizontal="center"/>
    </xf>
    <xf numFmtId="165" fontId="0" fillId="0" borderId="0" xfId="0" applyNumberFormat="1" applyAlignment="1">
      <alignment horizontal="center"/>
    </xf>
    <xf numFmtId="0" fontId="18" fillId="0" borderId="0" xfId="0" applyFont="1" applyAlignment="1">
      <alignment horizontal="center"/>
    </xf>
    <xf numFmtId="0" fontId="0" fillId="0" borderId="0" xfId="0" applyAlignment="1">
      <alignment horizontal="center"/>
    </xf>
  </cellXfs>
  <cellStyles count="3">
    <cellStyle name="Comma" xfId="1" builtinId="3"/>
    <cellStyle name="Normal" xfId="0" builtinId="0"/>
    <cellStyle name="Percent" xfId="2" builtinId="5"/>
  </cellStyles>
  <dxfs count="96">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auto="1"/>
      </font>
    </dxf>
    <dxf>
      <font>
        <color auto="1"/>
      </font>
    </dxf>
    <dxf>
      <font>
        <color auto="1"/>
      </font>
    </dxf>
    <dxf>
      <font>
        <color auto="1"/>
      </font>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auto="1"/>
      </font>
      <fill>
        <patternFill>
          <bgColor theme="6"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auto="1"/>
      </font>
      <fill>
        <patternFill>
          <bgColor theme="6"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auto="1"/>
      </font>
      <fill>
        <patternFill>
          <bgColor theme="6"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auto="1"/>
      </font>
      <fill>
        <patternFill>
          <bgColor theme="6"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auto="1"/>
      </font>
      <fill>
        <patternFill>
          <bgColor theme="6"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0" tint="-0.24994659260841701"/>
      </font>
      <fill>
        <patternFill>
          <bgColor theme="0" tint="-0.24994659260841701"/>
        </patternFill>
      </fill>
    </dxf>
    <dxf>
      <font>
        <color theme="0" tint="-0.24994659260841701"/>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10.xml><?xml version="1.0" encoding="utf-8"?>
<ax:ocx xmlns:ax="http://schemas.microsoft.com/office/2006/activeX" xmlns:r="http://schemas.openxmlformats.org/officeDocument/2006/relationships" ax:classid="{8BD21D30-EC42-11CE-9E0D-00AA006002F3}" ax:persistence="persistStreamInit" r:id="rId1"/>
</file>

<file path=xl/activeX/activeX11.xml><?xml version="1.0" encoding="utf-8"?>
<ax:ocx xmlns:ax="http://schemas.microsoft.com/office/2006/activeX" xmlns:r="http://schemas.openxmlformats.org/officeDocument/2006/relationships" ax:classid="{8BD21D30-EC42-11CE-9E0D-00AA006002F3}" ax:persistence="persistStreamInit" r:id="rId1"/>
</file>

<file path=xl/activeX/activeX12.xml><?xml version="1.0" encoding="utf-8"?>
<ax:ocx xmlns:ax="http://schemas.microsoft.com/office/2006/activeX" xmlns:r="http://schemas.openxmlformats.org/officeDocument/2006/relationships" ax:classid="{8BD21D30-EC42-11CE-9E0D-00AA006002F3}" ax:persistence="persistStreamInit" r:id="rId1"/>
</file>

<file path=xl/activeX/activeX13.xml><?xml version="1.0" encoding="utf-8"?>
<ax:ocx xmlns:ax="http://schemas.microsoft.com/office/2006/activeX" xmlns:r="http://schemas.openxmlformats.org/officeDocument/2006/relationships" ax:classid="{8BD21D30-EC42-11CE-9E0D-00AA006002F3}" ax:persistence="persistStreamInit" r:id="rId1"/>
</file>

<file path=xl/activeX/activeX14.xml><?xml version="1.0" encoding="utf-8"?>
<ax:ocx xmlns:ax="http://schemas.microsoft.com/office/2006/activeX" xmlns:r="http://schemas.openxmlformats.org/officeDocument/2006/relationships" ax:classid="{8BD21D30-EC42-11CE-9E0D-00AA006002F3}" ax:persistence="persistStreamInit" r:id="rId1"/>
</file>

<file path=xl/activeX/activeX15.xml><?xml version="1.0" encoding="utf-8"?>
<ax:ocx xmlns:ax="http://schemas.microsoft.com/office/2006/activeX" xmlns:r="http://schemas.openxmlformats.org/officeDocument/2006/relationships" ax:classid="{8BD21D30-EC42-11CE-9E0D-00AA006002F3}" ax:persistence="persistStreamInit" r:id="rId1"/>
</file>

<file path=xl/activeX/activeX16.xml><?xml version="1.0" encoding="utf-8"?>
<ax:ocx xmlns:ax="http://schemas.microsoft.com/office/2006/activeX" xmlns:r="http://schemas.openxmlformats.org/officeDocument/2006/relationships" ax:classid="{8BD21D30-EC42-11CE-9E0D-00AA006002F3}" ax:persistence="persistStreamInit" r:id="rId1"/>
</file>

<file path=xl/activeX/activeX17.xml><?xml version="1.0" encoding="utf-8"?>
<ax:ocx xmlns:ax="http://schemas.microsoft.com/office/2006/activeX" xmlns:r="http://schemas.openxmlformats.org/officeDocument/2006/relationships" ax:classid="{8BD21D30-EC42-11CE-9E0D-00AA006002F3}" ax:persistence="persistStreamInit" r:id="rId1"/>
</file>

<file path=xl/activeX/activeX18.xml><?xml version="1.0" encoding="utf-8"?>
<ax:ocx xmlns:ax="http://schemas.microsoft.com/office/2006/activeX" xmlns:r="http://schemas.openxmlformats.org/officeDocument/2006/relationships" ax:classid="{8BD21D30-EC42-11CE-9E0D-00AA006002F3}" ax:persistence="persistStreamInit" r:id="rId1"/>
</file>

<file path=xl/activeX/activeX19.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activeX/activeX20.xml><?xml version="1.0" encoding="utf-8"?>
<ax:ocx xmlns:ax="http://schemas.microsoft.com/office/2006/activeX" xmlns:r="http://schemas.openxmlformats.org/officeDocument/2006/relationships" ax:classid="{8BD21D30-EC42-11CE-9E0D-00AA006002F3}" ax:persistence="persistStreamInit" r:id="rId1"/>
</file>

<file path=xl/activeX/activeX21.xml><?xml version="1.0" encoding="utf-8"?>
<ax:ocx xmlns:ax="http://schemas.microsoft.com/office/2006/activeX" xmlns:r="http://schemas.openxmlformats.org/officeDocument/2006/relationships" ax:classid="{8BD21D30-EC42-11CE-9E0D-00AA006002F3}" ax:persistence="persistStreamInit" r:id="rId1"/>
</file>

<file path=xl/activeX/activeX22.xml><?xml version="1.0" encoding="utf-8"?>
<ax:ocx xmlns:ax="http://schemas.microsoft.com/office/2006/activeX" xmlns:r="http://schemas.openxmlformats.org/officeDocument/2006/relationships" ax:classid="{8BD21D30-EC42-11CE-9E0D-00AA006002F3}" ax:persistence="persistStreamInit" r:id="rId1"/>
</file>

<file path=xl/activeX/activeX23.xml><?xml version="1.0" encoding="utf-8"?>
<ax:ocx xmlns:ax="http://schemas.microsoft.com/office/2006/activeX" xmlns:r="http://schemas.openxmlformats.org/officeDocument/2006/relationships" ax:classid="{8BD21D30-EC42-11CE-9E0D-00AA006002F3}" ax:persistence="persistStreamInit" r:id="rId1"/>
</file>

<file path=xl/activeX/activeX24.xml><?xml version="1.0" encoding="utf-8"?>
<ax:ocx xmlns:ax="http://schemas.microsoft.com/office/2006/activeX" xmlns:r="http://schemas.openxmlformats.org/officeDocument/2006/relationships" ax:classid="{8BD21D30-EC42-11CE-9E0D-00AA006002F3}" ax:persistence="persistStreamInit" r:id="rId1"/>
</file>

<file path=xl/activeX/activeX25.xml><?xml version="1.0" encoding="utf-8"?>
<ax:ocx xmlns:ax="http://schemas.microsoft.com/office/2006/activeX" xmlns:r="http://schemas.openxmlformats.org/officeDocument/2006/relationships" ax:classid="{8BD21D30-EC42-11CE-9E0D-00AA006002F3}" ax:persistence="persistStreamInit" r:id="rId1"/>
</file>

<file path=xl/activeX/activeX26.xml><?xml version="1.0" encoding="utf-8"?>
<ax:ocx xmlns:ax="http://schemas.microsoft.com/office/2006/activeX" xmlns:r="http://schemas.openxmlformats.org/officeDocument/2006/relationships" ax:classid="{8BD21D30-EC42-11CE-9E0D-00AA006002F3}" ax:persistence="persistStreamInit" r:id="rId1"/>
</file>

<file path=xl/activeX/activeX27.xml><?xml version="1.0" encoding="utf-8"?>
<ax:ocx xmlns:ax="http://schemas.microsoft.com/office/2006/activeX" xmlns:r="http://schemas.openxmlformats.org/officeDocument/2006/relationships" ax:classid="{8BD21D30-EC42-11CE-9E0D-00AA006002F3}" ax:persistence="persistStreamInit" r:id="rId1"/>
</file>

<file path=xl/activeX/activeX28.xml><?xml version="1.0" encoding="utf-8"?>
<ax:ocx xmlns:ax="http://schemas.microsoft.com/office/2006/activeX" xmlns:r="http://schemas.openxmlformats.org/officeDocument/2006/relationships" ax:classid="{8BD21D30-EC42-11CE-9E0D-00AA006002F3}" ax:persistence="persistStreamInit" r:id="rId1"/>
</file>

<file path=xl/activeX/activeX29.xml><?xml version="1.0" encoding="utf-8"?>
<ax:ocx xmlns:ax="http://schemas.microsoft.com/office/2006/activeX" xmlns:r="http://schemas.openxmlformats.org/officeDocument/2006/relationships" ax:classid="{8BD21D30-EC42-11CE-9E0D-00AA006002F3}" ax:persistence="persistStreamInit" r:id="rId1"/>
</file>

<file path=xl/activeX/activeX3.xml><?xml version="1.0" encoding="utf-8"?>
<ax:ocx xmlns:ax="http://schemas.microsoft.com/office/2006/activeX" xmlns:r="http://schemas.openxmlformats.org/officeDocument/2006/relationships" ax:classid="{8BD21D30-EC42-11CE-9E0D-00AA006002F3}" ax:persistence="persistStreamInit" r:id="rId1"/>
</file>

<file path=xl/activeX/activeX30.xml><?xml version="1.0" encoding="utf-8"?>
<ax:ocx xmlns:ax="http://schemas.microsoft.com/office/2006/activeX" xmlns:r="http://schemas.openxmlformats.org/officeDocument/2006/relationships" ax:classid="{8BD21D30-EC42-11CE-9E0D-00AA006002F3}" ax:persistence="persistStreamInit" r:id="rId1"/>
</file>

<file path=xl/activeX/activeX31.xml><?xml version="1.0" encoding="utf-8"?>
<ax:ocx xmlns:ax="http://schemas.microsoft.com/office/2006/activeX" xmlns:r="http://schemas.openxmlformats.org/officeDocument/2006/relationships" ax:classid="{8BD21D30-EC42-11CE-9E0D-00AA006002F3}" ax:persistence="persistStreamInit" r:id="rId1"/>
</file>

<file path=xl/activeX/activeX32.xml><?xml version="1.0" encoding="utf-8"?>
<ax:ocx xmlns:ax="http://schemas.microsoft.com/office/2006/activeX" xmlns:r="http://schemas.openxmlformats.org/officeDocument/2006/relationships" ax:classid="{8BD21D30-EC42-11CE-9E0D-00AA006002F3}" ax:persistence="persistStreamInit" r:id="rId1"/>
</file>

<file path=xl/activeX/activeX33.xml><?xml version="1.0" encoding="utf-8"?>
<ax:ocx xmlns:ax="http://schemas.microsoft.com/office/2006/activeX" xmlns:r="http://schemas.openxmlformats.org/officeDocument/2006/relationships" ax:classid="{8BD21D30-EC42-11CE-9E0D-00AA006002F3}" ax:persistence="persistStreamInit" r:id="rId1"/>
</file>

<file path=xl/activeX/activeX34.xml><?xml version="1.0" encoding="utf-8"?>
<ax:ocx xmlns:ax="http://schemas.microsoft.com/office/2006/activeX" xmlns:r="http://schemas.openxmlformats.org/officeDocument/2006/relationships" ax:classid="{8BD21D30-EC42-11CE-9E0D-00AA006002F3}" ax:persistence="persistStreamInit" r:id="rId1"/>
</file>

<file path=xl/activeX/activeX35.xml><?xml version="1.0" encoding="utf-8"?>
<ax:ocx xmlns:ax="http://schemas.microsoft.com/office/2006/activeX" xmlns:r="http://schemas.openxmlformats.org/officeDocument/2006/relationships" ax:classid="{8BD21D30-EC42-11CE-9E0D-00AA006002F3}" ax:persistence="persistStreamInit" r:id="rId1"/>
</file>

<file path=xl/activeX/activeX36.xml><?xml version="1.0" encoding="utf-8"?>
<ax:ocx xmlns:ax="http://schemas.microsoft.com/office/2006/activeX" xmlns:r="http://schemas.openxmlformats.org/officeDocument/2006/relationships" ax:classid="{8BD21D30-EC42-11CE-9E0D-00AA006002F3}" ax:persistence="persistStreamInit" r:id="rId1"/>
</file>

<file path=xl/activeX/activeX37.xml><?xml version="1.0" encoding="utf-8"?>
<ax:ocx xmlns:ax="http://schemas.microsoft.com/office/2006/activeX" xmlns:r="http://schemas.openxmlformats.org/officeDocument/2006/relationships" ax:classid="{8BD21D30-EC42-11CE-9E0D-00AA006002F3}" ax:persistence="persistStreamInit" r:id="rId1"/>
</file>

<file path=xl/activeX/activeX38.xml><?xml version="1.0" encoding="utf-8"?>
<ax:ocx xmlns:ax="http://schemas.microsoft.com/office/2006/activeX" xmlns:r="http://schemas.openxmlformats.org/officeDocument/2006/relationships" ax:classid="{8BD21D30-EC42-11CE-9E0D-00AA006002F3}" ax:persistence="persistStreamInit" r:id="rId1"/>
</file>

<file path=xl/activeX/activeX39.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8BD21D30-EC42-11CE-9E0D-00AA006002F3}" ax:persistence="persistStreamInit" r:id="rId1"/>
</file>

<file path=xl/activeX/activeX40.xml><?xml version="1.0" encoding="utf-8"?>
<ax:ocx xmlns:ax="http://schemas.microsoft.com/office/2006/activeX" xmlns:r="http://schemas.openxmlformats.org/officeDocument/2006/relationships" ax:classid="{8BD21D30-EC42-11CE-9E0D-00AA006002F3}" ax:persistence="persistStreamInit" r:id="rId1"/>
</file>

<file path=xl/activeX/activeX41.xml><?xml version="1.0" encoding="utf-8"?>
<ax:ocx xmlns:ax="http://schemas.microsoft.com/office/2006/activeX" xmlns:r="http://schemas.openxmlformats.org/officeDocument/2006/relationships" ax:classid="{8BD21D30-EC42-11CE-9E0D-00AA006002F3}" ax:persistence="persistStreamInit" r:id="rId1"/>
</file>

<file path=xl/activeX/activeX42.xml><?xml version="1.0" encoding="utf-8"?>
<ax:ocx xmlns:ax="http://schemas.microsoft.com/office/2006/activeX" xmlns:r="http://schemas.openxmlformats.org/officeDocument/2006/relationships" ax:classid="{8BD21D30-EC42-11CE-9E0D-00AA006002F3}" ax:persistence="persistStreamInit" r:id="rId1"/>
</file>

<file path=xl/activeX/activeX43.xml><?xml version="1.0" encoding="utf-8"?>
<ax:ocx xmlns:ax="http://schemas.microsoft.com/office/2006/activeX" xmlns:r="http://schemas.openxmlformats.org/officeDocument/2006/relationships" ax:classid="{8BD21D30-EC42-11CE-9E0D-00AA006002F3}" ax:persistence="persistStreamInit" r:id="rId1"/>
</file>

<file path=xl/activeX/activeX44.xml><?xml version="1.0" encoding="utf-8"?>
<ax:ocx xmlns:ax="http://schemas.microsoft.com/office/2006/activeX" xmlns:r="http://schemas.openxmlformats.org/officeDocument/2006/relationships" ax:classid="{8BD21D30-EC42-11CE-9E0D-00AA006002F3}" ax:persistence="persistStreamInit" r:id="rId1"/>
</file>

<file path=xl/activeX/activeX45.xml><?xml version="1.0" encoding="utf-8"?>
<ax:ocx xmlns:ax="http://schemas.microsoft.com/office/2006/activeX" xmlns:r="http://schemas.openxmlformats.org/officeDocument/2006/relationships" ax:classid="{8BD21D30-EC42-11CE-9E0D-00AA006002F3}" ax:persistence="persistStreamInit" r:id="rId1"/>
</file>

<file path=xl/activeX/activeX46.xml><?xml version="1.0" encoding="utf-8"?>
<ax:ocx xmlns:ax="http://schemas.microsoft.com/office/2006/activeX" xmlns:r="http://schemas.openxmlformats.org/officeDocument/2006/relationships" ax:classid="{8BD21D30-EC42-11CE-9E0D-00AA006002F3}" ax:persistence="persistStreamInit" r:id="rId1"/>
</file>

<file path=xl/activeX/activeX47.xml><?xml version="1.0" encoding="utf-8"?>
<ax:ocx xmlns:ax="http://schemas.microsoft.com/office/2006/activeX" xmlns:r="http://schemas.openxmlformats.org/officeDocument/2006/relationships" ax:classid="{8BD21D30-EC42-11CE-9E0D-00AA006002F3}" ax:persistence="persistStreamInit" r:id="rId1"/>
</file>

<file path=xl/activeX/activeX48.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activeX/activeX7.xml><?xml version="1.0" encoding="utf-8"?>
<ax:ocx xmlns:ax="http://schemas.microsoft.com/office/2006/activeX" xmlns:r="http://schemas.openxmlformats.org/officeDocument/2006/relationships" ax:classid="{8BD21D30-EC42-11CE-9E0D-00AA006002F3}" ax:persistence="persistStreamInit" r:id="rId1"/>
</file>

<file path=xl/activeX/activeX8.xml><?xml version="1.0" encoding="utf-8"?>
<ax:ocx xmlns:ax="http://schemas.microsoft.com/office/2006/activeX" xmlns:r="http://schemas.openxmlformats.org/officeDocument/2006/relationships" ax:classid="{8BD21D30-EC42-11CE-9E0D-00AA006002F3}" ax:persistence="persistStreamInit" r:id="rId1"/>
</file>

<file path=xl/activeX/activeX9.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9" Type="http://schemas.openxmlformats.org/officeDocument/2006/relationships/image" Target="../media/image39.emf"/><Relationship Id="rId3" Type="http://schemas.openxmlformats.org/officeDocument/2006/relationships/image" Target="../media/image3.emf"/><Relationship Id="rId21" Type="http://schemas.openxmlformats.org/officeDocument/2006/relationships/image" Target="../media/image21.emf"/><Relationship Id="rId34" Type="http://schemas.openxmlformats.org/officeDocument/2006/relationships/image" Target="../media/image34.emf"/><Relationship Id="rId42" Type="http://schemas.openxmlformats.org/officeDocument/2006/relationships/image" Target="../media/image42.emf"/><Relationship Id="rId47" Type="http://schemas.openxmlformats.org/officeDocument/2006/relationships/image" Target="../media/image47.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3.emf"/><Relationship Id="rId38" Type="http://schemas.openxmlformats.org/officeDocument/2006/relationships/image" Target="../media/image38.emf"/><Relationship Id="rId46" Type="http://schemas.openxmlformats.org/officeDocument/2006/relationships/image" Target="../media/image46.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29" Type="http://schemas.openxmlformats.org/officeDocument/2006/relationships/image" Target="../media/image29.emf"/><Relationship Id="rId41" Type="http://schemas.openxmlformats.org/officeDocument/2006/relationships/image" Target="../media/image41.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37" Type="http://schemas.openxmlformats.org/officeDocument/2006/relationships/image" Target="../media/image37.emf"/><Relationship Id="rId40" Type="http://schemas.openxmlformats.org/officeDocument/2006/relationships/image" Target="../media/image40.emf"/><Relationship Id="rId45" Type="http://schemas.openxmlformats.org/officeDocument/2006/relationships/image" Target="../media/image45.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36" Type="http://schemas.openxmlformats.org/officeDocument/2006/relationships/image" Target="../media/image36.emf"/><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4" Type="http://schemas.openxmlformats.org/officeDocument/2006/relationships/image" Target="../media/image44.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35" Type="http://schemas.openxmlformats.org/officeDocument/2006/relationships/image" Target="../media/image35.emf"/><Relationship Id="rId43" Type="http://schemas.openxmlformats.org/officeDocument/2006/relationships/image" Target="../media/image43.emf"/><Relationship Id="rId48" Type="http://schemas.openxmlformats.org/officeDocument/2006/relationships/image" Target="../media/image48.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ontrol" Target="../activeX/activeX11.xml"/><Relationship Id="rId18" Type="http://schemas.openxmlformats.org/officeDocument/2006/relationships/control" Target="../activeX/activeX16.xml"/><Relationship Id="rId26" Type="http://schemas.openxmlformats.org/officeDocument/2006/relationships/control" Target="../activeX/activeX24.xml"/><Relationship Id="rId39" Type="http://schemas.openxmlformats.org/officeDocument/2006/relationships/control" Target="../activeX/activeX37.xml"/><Relationship Id="rId3" Type="http://schemas.openxmlformats.org/officeDocument/2006/relationships/control" Target="../activeX/activeX1.xml"/><Relationship Id="rId21" Type="http://schemas.openxmlformats.org/officeDocument/2006/relationships/control" Target="../activeX/activeX19.xml"/><Relationship Id="rId34" Type="http://schemas.openxmlformats.org/officeDocument/2006/relationships/control" Target="../activeX/activeX32.xml"/><Relationship Id="rId42" Type="http://schemas.openxmlformats.org/officeDocument/2006/relationships/control" Target="../activeX/activeX40.xml"/><Relationship Id="rId47" Type="http://schemas.openxmlformats.org/officeDocument/2006/relationships/control" Target="../activeX/activeX45.xml"/><Relationship Id="rId50" Type="http://schemas.openxmlformats.org/officeDocument/2006/relationships/control" Target="../activeX/activeX48.xml"/><Relationship Id="rId7" Type="http://schemas.openxmlformats.org/officeDocument/2006/relationships/control" Target="../activeX/activeX5.xml"/><Relationship Id="rId12" Type="http://schemas.openxmlformats.org/officeDocument/2006/relationships/control" Target="../activeX/activeX10.xml"/><Relationship Id="rId17" Type="http://schemas.openxmlformats.org/officeDocument/2006/relationships/control" Target="../activeX/activeX15.xml"/><Relationship Id="rId25" Type="http://schemas.openxmlformats.org/officeDocument/2006/relationships/control" Target="../activeX/activeX23.xml"/><Relationship Id="rId33" Type="http://schemas.openxmlformats.org/officeDocument/2006/relationships/control" Target="../activeX/activeX31.xml"/><Relationship Id="rId38" Type="http://schemas.openxmlformats.org/officeDocument/2006/relationships/control" Target="../activeX/activeX36.xml"/><Relationship Id="rId46" Type="http://schemas.openxmlformats.org/officeDocument/2006/relationships/control" Target="../activeX/activeX44.xml"/><Relationship Id="rId2" Type="http://schemas.openxmlformats.org/officeDocument/2006/relationships/vmlDrawing" Target="../drawings/vmlDrawing1.vml"/><Relationship Id="rId16" Type="http://schemas.openxmlformats.org/officeDocument/2006/relationships/control" Target="../activeX/activeX14.xml"/><Relationship Id="rId20" Type="http://schemas.openxmlformats.org/officeDocument/2006/relationships/control" Target="../activeX/activeX18.xml"/><Relationship Id="rId29" Type="http://schemas.openxmlformats.org/officeDocument/2006/relationships/control" Target="../activeX/activeX27.xml"/><Relationship Id="rId41" Type="http://schemas.openxmlformats.org/officeDocument/2006/relationships/control" Target="../activeX/activeX39.xml"/><Relationship Id="rId1" Type="http://schemas.openxmlformats.org/officeDocument/2006/relationships/printerSettings" Target="../printerSettings/printerSettings1.bin"/><Relationship Id="rId6" Type="http://schemas.openxmlformats.org/officeDocument/2006/relationships/control" Target="../activeX/activeX4.xml"/><Relationship Id="rId11" Type="http://schemas.openxmlformats.org/officeDocument/2006/relationships/control" Target="../activeX/activeX9.xml"/><Relationship Id="rId24" Type="http://schemas.openxmlformats.org/officeDocument/2006/relationships/control" Target="../activeX/activeX22.xml"/><Relationship Id="rId32" Type="http://schemas.openxmlformats.org/officeDocument/2006/relationships/control" Target="../activeX/activeX30.xml"/><Relationship Id="rId37" Type="http://schemas.openxmlformats.org/officeDocument/2006/relationships/control" Target="../activeX/activeX35.xml"/><Relationship Id="rId40" Type="http://schemas.openxmlformats.org/officeDocument/2006/relationships/control" Target="../activeX/activeX38.xml"/><Relationship Id="rId45" Type="http://schemas.openxmlformats.org/officeDocument/2006/relationships/control" Target="../activeX/activeX43.xml"/><Relationship Id="rId5" Type="http://schemas.openxmlformats.org/officeDocument/2006/relationships/control" Target="../activeX/activeX3.xml"/><Relationship Id="rId15" Type="http://schemas.openxmlformats.org/officeDocument/2006/relationships/control" Target="../activeX/activeX13.xml"/><Relationship Id="rId23" Type="http://schemas.openxmlformats.org/officeDocument/2006/relationships/control" Target="../activeX/activeX21.xml"/><Relationship Id="rId28" Type="http://schemas.openxmlformats.org/officeDocument/2006/relationships/control" Target="../activeX/activeX26.xml"/><Relationship Id="rId36" Type="http://schemas.openxmlformats.org/officeDocument/2006/relationships/control" Target="../activeX/activeX34.xml"/><Relationship Id="rId49" Type="http://schemas.openxmlformats.org/officeDocument/2006/relationships/control" Target="../activeX/activeX47.xml"/><Relationship Id="rId10" Type="http://schemas.openxmlformats.org/officeDocument/2006/relationships/control" Target="../activeX/activeX8.xml"/><Relationship Id="rId19" Type="http://schemas.openxmlformats.org/officeDocument/2006/relationships/control" Target="../activeX/activeX17.xml"/><Relationship Id="rId31" Type="http://schemas.openxmlformats.org/officeDocument/2006/relationships/control" Target="../activeX/activeX29.xml"/><Relationship Id="rId44" Type="http://schemas.openxmlformats.org/officeDocument/2006/relationships/control" Target="../activeX/activeX42.xml"/><Relationship Id="rId4" Type="http://schemas.openxmlformats.org/officeDocument/2006/relationships/control" Target="../activeX/activeX2.xml"/><Relationship Id="rId9" Type="http://schemas.openxmlformats.org/officeDocument/2006/relationships/control" Target="../activeX/activeX7.xml"/><Relationship Id="rId14" Type="http://schemas.openxmlformats.org/officeDocument/2006/relationships/control" Target="../activeX/activeX12.xml"/><Relationship Id="rId22" Type="http://schemas.openxmlformats.org/officeDocument/2006/relationships/control" Target="../activeX/activeX20.xml"/><Relationship Id="rId27" Type="http://schemas.openxmlformats.org/officeDocument/2006/relationships/control" Target="../activeX/activeX25.xml"/><Relationship Id="rId30" Type="http://schemas.openxmlformats.org/officeDocument/2006/relationships/control" Target="../activeX/activeX28.xml"/><Relationship Id="rId35" Type="http://schemas.openxmlformats.org/officeDocument/2006/relationships/control" Target="../activeX/activeX33.xml"/><Relationship Id="rId43" Type="http://schemas.openxmlformats.org/officeDocument/2006/relationships/control" Target="../activeX/activeX41.xml"/><Relationship Id="rId48" Type="http://schemas.openxmlformats.org/officeDocument/2006/relationships/control" Target="../activeX/activeX46.xml"/><Relationship Id="rId8" Type="http://schemas.openxmlformats.org/officeDocument/2006/relationships/control" Target="../activeX/activeX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1:N48"/>
  <sheetViews>
    <sheetView tabSelected="1" workbookViewId="0"/>
  </sheetViews>
  <sheetFormatPr defaultRowHeight="12.75"/>
  <cols>
    <col min="1" max="1" width="4" customWidth="1"/>
    <col min="2" max="2" width="3.7109375" customWidth="1"/>
    <col min="10" max="10" width="11.28515625" bestFit="1" customWidth="1"/>
    <col min="11" max="11" width="3.7109375" customWidth="1"/>
    <col min="13" max="13" width="19.5703125" customWidth="1"/>
  </cols>
  <sheetData>
    <row r="1" spans="1:12" ht="13.5" thickBot="1"/>
    <row r="2" spans="1:12">
      <c r="B2" s="6"/>
      <c r="C2" s="7"/>
      <c r="D2" s="7"/>
      <c r="E2" s="7"/>
      <c r="F2" s="7"/>
      <c r="G2" s="7"/>
      <c r="H2" s="7"/>
      <c r="I2" s="7"/>
      <c r="J2" s="7"/>
      <c r="K2" s="8"/>
    </row>
    <row r="3" spans="1:12" ht="15.95" customHeight="1">
      <c r="A3" s="5"/>
      <c r="B3" s="9"/>
      <c r="C3" s="87" t="s">
        <v>6</v>
      </c>
      <c r="D3" s="87"/>
      <c r="E3" s="87"/>
      <c r="F3" s="87"/>
      <c r="G3" s="87"/>
      <c r="H3" s="87"/>
      <c r="I3" s="87"/>
      <c r="J3" s="87"/>
      <c r="K3" s="11"/>
      <c r="L3" s="4"/>
    </row>
    <row r="4" spans="1:12" ht="15.95" customHeight="1">
      <c r="A4" s="4"/>
      <c r="B4" s="9"/>
      <c r="C4" s="88" t="s">
        <v>309</v>
      </c>
      <c r="D4" s="88"/>
      <c r="E4" s="88"/>
      <c r="F4" s="88"/>
      <c r="G4" s="88"/>
      <c r="H4" s="88"/>
      <c r="I4" s="88"/>
      <c r="J4" s="88"/>
      <c r="K4" s="11"/>
      <c r="L4" s="4"/>
    </row>
    <row r="5" spans="1:12" ht="15.95" customHeight="1">
      <c r="A5" s="4"/>
      <c r="B5" s="12"/>
      <c r="C5" s="10"/>
      <c r="D5" s="10"/>
      <c r="E5" s="10"/>
      <c r="F5" s="10"/>
      <c r="G5" s="10"/>
      <c r="H5" s="10"/>
      <c r="I5" s="10"/>
      <c r="J5" s="10"/>
      <c r="K5" s="11"/>
      <c r="L5" s="4"/>
    </row>
    <row r="6" spans="1:12" ht="15.95" customHeight="1">
      <c r="B6" s="12"/>
      <c r="C6" s="89" t="s">
        <v>297</v>
      </c>
      <c r="D6" s="89"/>
      <c r="E6" s="89"/>
      <c r="F6" s="89"/>
      <c r="G6" s="89"/>
      <c r="H6" s="89"/>
      <c r="I6" s="89"/>
      <c r="J6" s="89"/>
      <c r="K6" s="11"/>
      <c r="L6" s="4"/>
    </row>
    <row r="7" spans="1:12" ht="15.95" customHeight="1">
      <c r="A7" s="4"/>
      <c r="B7" s="12"/>
      <c r="C7" s="89"/>
      <c r="D7" s="89"/>
      <c r="E7" s="89"/>
      <c r="F7" s="89"/>
      <c r="G7" s="89"/>
      <c r="H7" s="89"/>
      <c r="I7" s="89"/>
      <c r="J7" s="89"/>
      <c r="K7" s="11"/>
      <c r="L7" s="4"/>
    </row>
    <row r="8" spans="1:12" ht="20.100000000000001" customHeight="1">
      <c r="B8" s="9"/>
      <c r="C8" s="89"/>
      <c r="D8" s="89"/>
      <c r="E8" s="89"/>
      <c r="F8" s="89"/>
      <c r="G8" s="89"/>
      <c r="H8" s="89"/>
      <c r="I8" s="89"/>
      <c r="J8" s="89"/>
      <c r="K8" s="11"/>
      <c r="L8" s="4"/>
    </row>
    <row r="9" spans="1:12" ht="19.5" customHeight="1">
      <c r="B9" s="9"/>
      <c r="C9" s="93" t="s">
        <v>298</v>
      </c>
      <c r="D9" s="93"/>
      <c r="E9" s="93"/>
      <c r="F9" s="93"/>
      <c r="G9" s="93"/>
      <c r="H9" s="93"/>
      <c r="I9" s="93"/>
      <c r="J9" s="93"/>
      <c r="K9" s="11"/>
      <c r="L9" s="4"/>
    </row>
    <row r="10" spans="1:12" ht="15.95" customHeight="1">
      <c r="B10" s="9"/>
      <c r="C10" s="84"/>
      <c r="D10" s="84"/>
      <c r="E10" s="84"/>
      <c r="F10" s="84"/>
      <c r="G10" s="84"/>
      <c r="H10" s="84"/>
      <c r="I10" s="84"/>
      <c r="J10" s="84"/>
      <c r="K10" s="11"/>
      <c r="L10" s="4"/>
    </row>
    <row r="11" spans="1:12" ht="36" customHeight="1">
      <c r="B11" s="9"/>
      <c r="C11" s="94" t="s">
        <v>310</v>
      </c>
      <c r="D11" s="94"/>
      <c r="E11" s="94"/>
      <c r="F11" s="94"/>
      <c r="G11" s="94"/>
      <c r="H11" s="94"/>
      <c r="I11" s="94"/>
      <c r="J11" s="94"/>
      <c r="K11" s="11"/>
      <c r="L11" s="4"/>
    </row>
    <row r="12" spans="1:12" ht="15.95" customHeight="1">
      <c r="B12" s="9"/>
      <c r="C12" s="13"/>
      <c r="D12" s="10"/>
      <c r="E12" s="10"/>
      <c r="F12" s="10"/>
      <c r="G12" s="10"/>
      <c r="H12" s="10"/>
      <c r="I12" s="10"/>
      <c r="J12" s="10"/>
      <c r="K12" s="11"/>
      <c r="L12" s="4"/>
    </row>
    <row r="13" spans="1:12" ht="15.95" customHeight="1">
      <c r="B13" s="9"/>
      <c r="C13" s="17" t="s">
        <v>56</v>
      </c>
      <c r="D13" s="18"/>
      <c r="E13" s="18"/>
      <c r="F13" s="18"/>
      <c r="G13" s="18"/>
      <c r="H13" s="18"/>
      <c r="I13" s="18"/>
      <c r="J13" s="18"/>
      <c r="K13" s="11"/>
      <c r="L13" s="4"/>
    </row>
    <row r="14" spans="1:12" ht="20.100000000000001" customHeight="1">
      <c r="B14" s="9"/>
      <c r="C14" s="90" t="s">
        <v>299</v>
      </c>
      <c r="D14" s="91"/>
      <c r="E14" s="91"/>
      <c r="F14" s="91"/>
      <c r="G14" s="91"/>
      <c r="H14" s="91"/>
      <c r="I14" s="91"/>
      <c r="J14" s="91"/>
      <c r="K14" s="11"/>
      <c r="L14" s="4"/>
    </row>
    <row r="15" spans="1:12" ht="20.100000000000001" customHeight="1">
      <c r="B15" s="9"/>
      <c r="C15" s="91"/>
      <c r="D15" s="91"/>
      <c r="E15" s="91"/>
      <c r="F15" s="91"/>
      <c r="G15" s="91"/>
      <c r="H15" s="91"/>
      <c r="I15" s="91"/>
      <c r="J15" s="91"/>
      <c r="K15" s="11"/>
      <c r="L15" s="4"/>
    </row>
    <row r="16" spans="1:12" ht="15.95" customHeight="1">
      <c r="B16" s="9"/>
      <c r="K16" s="11"/>
      <c r="L16" s="4"/>
    </row>
    <row r="17" spans="1:12" ht="15.95" customHeight="1">
      <c r="B17" s="9"/>
      <c r="C17" s="17" t="s">
        <v>10</v>
      </c>
      <c r="D17" s="18"/>
      <c r="E17" s="18"/>
      <c r="F17" s="18"/>
      <c r="G17" s="18"/>
      <c r="H17" s="18"/>
      <c r="I17" s="18"/>
      <c r="J17" s="18"/>
      <c r="K17" s="11"/>
      <c r="L17" s="4"/>
    </row>
    <row r="18" spans="1:12" ht="15.95" customHeight="1">
      <c r="A18" s="4"/>
      <c r="B18" s="12"/>
      <c r="C18" s="90" t="s">
        <v>300</v>
      </c>
      <c r="D18" s="91"/>
      <c r="E18" s="91"/>
      <c r="F18" s="91"/>
      <c r="G18" s="91"/>
      <c r="H18" s="91"/>
      <c r="I18" s="91"/>
      <c r="J18" s="91"/>
      <c r="K18" s="11"/>
      <c r="L18" s="4"/>
    </row>
    <row r="19" spans="1:12" ht="15.75" customHeight="1">
      <c r="A19" s="4"/>
      <c r="B19" s="12"/>
      <c r="C19" s="91"/>
      <c r="D19" s="91"/>
      <c r="E19" s="91"/>
      <c r="F19" s="91"/>
      <c r="G19" s="91"/>
      <c r="H19" s="91"/>
      <c r="I19" s="91"/>
      <c r="J19" s="91"/>
      <c r="K19" s="11"/>
      <c r="L19" s="4"/>
    </row>
    <row r="20" spans="1:12" ht="15.95" customHeight="1">
      <c r="A20" s="4"/>
      <c r="B20" s="12"/>
      <c r="C20" s="10"/>
      <c r="D20" s="10"/>
      <c r="E20" s="10"/>
      <c r="F20" s="10"/>
      <c r="G20" s="10"/>
      <c r="H20" s="10"/>
      <c r="I20" s="10"/>
      <c r="J20" s="10"/>
      <c r="K20" s="11"/>
      <c r="L20" s="4"/>
    </row>
    <row r="21" spans="1:12" ht="15.95" customHeight="1">
      <c r="A21" s="4"/>
      <c r="B21" s="12"/>
      <c r="C21" s="17" t="s">
        <v>190</v>
      </c>
      <c r="D21" s="18"/>
      <c r="E21" s="18"/>
      <c r="F21" s="18"/>
      <c r="G21" s="18"/>
      <c r="H21" s="18"/>
      <c r="I21" s="18"/>
      <c r="J21" s="18"/>
      <c r="K21" s="11"/>
      <c r="L21" s="4"/>
    </row>
    <row r="22" spans="1:12" ht="15.95" customHeight="1">
      <c r="A22" s="4"/>
      <c r="B22" s="12"/>
      <c r="C22" s="90" t="s">
        <v>301</v>
      </c>
      <c r="D22" s="92"/>
      <c r="E22" s="92"/>
      <c r="F22" s="92"/>
      <c r="G22" s="92"/>
      <c r="H22" s="92"/>
      <c r="I22" s="92"/>
      <c r="J22" s="92"/>
      <c r="K22" s="11"/>
      <c r="L22" s="4"/>
    </row>
    <row r="23" spans="1:12" ht="15.95" customHeight="1">
      <c r="A23" s="4"/>
      <c r="B23" s="12"/>
      <c r="C23" s="92"/>
      <c r="D23" s="92"/>
      <c r="E23" s="92"/>
      <c r="F23" s="92"/>
      <c r="G23" s="92"/>
      <c r="H23" s="92"/>
      <c r="I23" s="92"/>
      <c r="J23" s="92"/>
      <c r="K23" s="11"/>
      <c r="L23" s="4"/>
    </row>
    <row r="24" spans="1:12">
      <c r="A24" s="4"/>
      <c r="B24" s="12"/>
      <c r="C24" s="10"/>
      <c r="D24" s="10"/>
      <c r="E24" s="10"/>
      <c r="F24" s="10"/>
      <c r="G24" s="10"/>
      <c r="H24" s="10"/>
      <c r="I24" s="10"/>
      <c r="J24" s="10"/>
      <c r="K24" s="11"/>
      <c r="L24" s="4"/>
    </row>
    <row r="25" spans="1:12">
      <c r="A25" s="4"/>
      <c r="B25" s="12"/>
      <c r="C25" s="17" t="s">
        <v>302</v>
      </c>
      <c r="D25" s="18"/>
      <c r="E25" s="18"/>
      <c r="F25" s="18"/>
      <c r="G25" s="18"/>
      <c r="H25" s="18"/>
      <c r="I25" s="18"/>
      <c r="J25" s="18"/>
      <c r="K25" s="11"/>
      <c r="L25" s="4"/>
    </row>
    <row r="26" spans="1:12" ht="13.5" customHeight="1">
      <c r="A26" s="4"/>
      <c r="B26" s="12"/>
      <c r="C26" s="90" t="s">
        <v>303</v>
      </c>
      <c r="D26" s="90"/>
      <c r="E26" s="90"/>
      <c r="F26" s="90"/>
      <c r="G26" s="90"/>
      <c r="H26" s="90"/>
      <c r="I26" s="90"/>
      <c r="J26" s="90"/>
      <c r="K26" s="11"/>
      <c r="L26" s="4"/>
    </row>
    <row r="27" spans="1:12">
      <c r="A27" s="4"/>
      <c r="B27" s="12"/>
      <c r="C27" s="90"/>
      <c r="D27" s="90"/>
      <c r="E27" s="90"/>
      <c r="F27" s="90"/>
      <c r="G27" s="90"/>
      <c r="H27" s="90"/>
      <c r="I27" s="90"/>
      <c r="J27" s="90"/>
      <c r="K27" s="11"/>
      <c r="L27" s="4"/>
    </row>
    <row r="28" spans="1:12">
      <c r="A28" s="4"/>
      <c r="B28" s="12"/>
      <c r="C28" s="90"/>
      <c r="D28" s="90"/>
      <c r="E28" s="90"/>
      <c r="F28" s="90"/>
      <c r="G28" s="90"/>
      <c r="H28" s="90"/>
      <c r="I28" s="90"/>
      <c r="J28" s="90"/>
      <c r="K28" s="11"/>
      <c r="L28" s="4"/>
    </row>
    <row r="29" spans="1:12">
      <c r="A29" s="4"/>
      <c r="B29" s="12"/>
      <c r="C29" s="10"/>
      <c r="D29" s="10"/>
      <c r="E29" s="10"/>
      <c r="F29" s="10"/>
      <c r="G29" s="10"/>
      <c r="H29" s="10"/>
      <c r="I29" s="10"/>
      <c r="J29" s="10"/>
      <c r="K29" s="11"/>
      <c r="L29" s="4"/>
    </row>
    <row r="30" spans="1:12">
      <c r="A30" s="4"/>
      <c r="B30" s="12"/>
      <c r="C30" s="17" t="s">
        <v>304</v>
      </c>
      <c r="D30" s="18"/>
      <c r="E30" s="18"/>
      <c r="F30" s="18"/>
      <c r="G30" s="18"/>
      <c r="H30" s="18"/>
      <c r="I30" s="18"/>
      <c r="J30" s="18"/>
      <c r="K30" s="11"/>
      <c r="L30" s="4"/>
    </row>
    <row r="31" spans="1:12">
      <c r="A31" s="4"/>
      <c r="B31" s="12"/>
      <c r="C31" s="90" t="s">
        <v>305</v>
      </c>
      <c r="D31" s="90"/>
      <c r="E31" s="90"/>
      <c r="F31" s="90"/>
      <c r="G31" s="90"/>
      <c r="H31" s="90"/>
      <c r="I31" s="90"/>
      <c r="J31" s="90"/>
      <c r="K31" s="11"/>
      <c r="L31" s="4"/>
    </row>
    <row r="32" spans="1:12">
      <c r="A32" s="4"/>
      <c r="B32" s="12"/>
      <c r="C32" s="90"/>
      <c r="D32" s="90"/>
      <c r="E32" s="90"/>
      <c r="F32" s="90"/>
      <c r="G32" s="90"/>
      <c r="H32" s="90"/>
      <c r="I32" s="90"/>
      <c r="J32" s="90"/>
      <c r="K32" s="11"/>
      <c r="L32" s="4"/>
    </row>
    <row r="33" spans="1:14">
      <c r="A33" s="4"/>
      <c r="B33" s="12"/>
      <c r="C33" s="90"/>
      <c r="D33" s="90"/>
      <c r="E33" s="90"/>
      <c r="F33" s="90"/>
      <c r="G33" s="90"/>
      <c r="H33" s="90"/>
      <c r="I33" s="90"/>
      <c r="J33" s="90"/>
      <c r="K33" s="11"/>
      <c r="L33" s="4"/>
    </row>
    <row r="34" spans="1:14">
      <c r="A34" s="4"/>
      <c r="B34" s="12"/>
      <c r="C34" s="10"/>
      <c r="D34" s="10"/>
      <c r="E34" s="10"/>
      <c r="F34" s="10"/>
      <c r="G34" s="10"/>
      <c r="H34" s="10"/>
      <c r="I34" s="10"/>
      <c r="J34" s="10"/>
      <c r="K34" s="11"/>
      <c r="L34" s="4"/>
    </row>
    <row r="35" spans="1:14">
      <c r="A35" s="4"/>
      <c r="B35" s="12"/>
      <c r="C35" s="17" t="s">
        <v>311</v>
      </c>
      <c r="D35" s="18"/>
      <c r="E35" s="18"/>
      <c r="F35" s="18"/>
      <c r="G35" s="18"/>
      <c r="H35" s="18"/>
      <c r="I35" s="18"/>
      <c r="J35" s="18"/>
      <c r="K35" s="11"/>
      <c r="L35" s="4"/>
    </row>
    <row r="36" spans="1:14">
      <c r="A36" s="4"/>
      <c r="B36" s="12"/>
      <c r="C36" s="90" t="s">
        <v>306</v>
      </c>
      <c r="D36" s="90"/>
      <c r="E36" s="90"/>
      <c r="F36" s="90"/>
      <c r="G36" s="90"/>
      <c r="H36" s="90"/>
      <c r="I36" s="90"/>
      <c r="J36" s="90"/>
      <c r="K36" s="11"/>
      <c r="L36" s="4"/>
    </row>
    <row r="37" spans="1:14">
      <c r="A37" s="4"/>
      <c r="B37" s="12"/>
      <c r="C37" s="90"/>
      <c r="D37" s="90"/>
      <c r="E37" s="90"/>
      <c r="F37" s="90"/>
      <c r="G37" s="90"/>
      <c r="H37" s="90"/>
      <c r="I37" s="90"/>
      <c r="J37" s="90"/>
      <c r="K37" s="11"/>
      <c r="L37" s="4"/>
    </row>
    <row r="38" spans="1:14">
      <c r="A38" s="4"/>
      <c r="B38" s="12"/>
      <c r="C38" s="10"/>
      <c r="D38" s="10"/>
      <c r="E38" s="10"/>
      <c r="F38" s="10"/>
      <c r="G38" s="10"/>
      <c r="H38" s="10"/>
      <c r="I38" s="10"/>
      <c r="J38" s="10"/>
      <c r="K38" s="11"/>
      <c r="L38" s="4"/>
    </row>
    <row r="39" spans="1:14">
      <c r="A39" s="4"/>
      <c r="B39" s="12"/>
      <c r="C39" s="17" t="s">
        <v>307</v>
      </c>
      <c r="D39" s="18"/>
      <c r="E39" s="18"/>
      <c r="F39" s="18"/>
      <c r="G39" s="18"/>
      <c r="H39" s="18"/>
      <c r="I39" s="18"/>
      <c r="J39" s="18"/>
      <c r="K39" s="11"/>
      <c r="L39" s="4"/>
    </row>
    <row r="40" spans="1:14">
      <c r="A40" s="4"/>
      <c r="B40" s="12"/>
      <c r="C40" s="90" t="s">
        <v>308</v>
      </c>
      <c r="D40" s="90"/>
      <c r="E40" s="90"/>
      <c r="F40" s="90"/>
      <c r="G40" s="90"/>
      <c r="H40" s="90"/>
      <c r="I40" s="90"/>
      <c r="J40" s="90"/>
      <c r="K40" s="11"/>
      <c r="L40" s="4"/>
    </row>
    <row r="41" spans="1:14" ht="12.75" customHeight="1">
      <c r="A41" s="4"/>
      <c r="B41" s="12"/>
      <c r="C41" s="90"/>
      <c r="D41" s="90"/>
      <c r="E41" s="90"/>
      <c r="F41" s="90"/>
      <c r="G41" s="90"/>
      <c r="H41" s="90"/>
      <c r="I41" s="90"/>
      <c r="J41" s="90"/>
      <c r="K41" s="11"/>
      <c r="L41" s="4"/>
    </row>
    <row r="42" spans="1:14">
      <c r="A42" s="4"/>
      <c r="B42" s="12"/>
      <c r="C42" s="10"/>
      <c r="D42" s="10"/>
      <c r="E42" s="10"/>
      <c r="F42" s="10"/>
      <c r="G42" s="10"/>
      <c r="H42" s="10"/>
      <c r="I42" s="10"/>
      <c r="J42" s="10"/>
      <c r="K42" s="11"/>
      <c r="L42" s="4"/>
    </row>
    <row r="43" spans="1:14">
      <c r="A43" s="4"/>
      <c r="B43" s="12"/>
      <c r="C43" s="85" t="s">
        <v>133</v>
      </c>
      <c r="D43" s="31"/>
      <c r="E43" s="31"/>
      <c r="F43" s="31"/>
      <c r="G43" s="31"/>
      <c r="H43" s="31"/>
      <c r="I43" s="31"/>
      <c r="J43" s="86">
        <v>41348</v>
      </c>
      <c r="K43" s="11"/>
      <c r="L43" s="4"/>
      <c r="M43" s="4"/>
      <c r="N43" s="4"/>
    </row>
    <row r="44" spans="1:14">
      <c r="B44" s="12"/>
      <c r="C44" s="85"/>
      <c r="D44" s="31"/>
      <c r="E44" s="31"/>
      <c r="F44" s="31"/>
      <c r="G44" s="31"/>
      <c r="H44" s="31"/>
      <c r="I44" s="31"/>
      <c r="J44" s="86"/>
      <c r="K44" s="11"/>
      <c r="L44" s="4"/>
      <c r="M44" s="4"/>
      <c r="N44" s="4"/>
    </row>
    <row r="45" spans="1:14" ht="13.5" thickBot="1">
      <c r="B45" s="14"/>
      <c r="C45" s="15"/>
      <c r="D45" s="15"/>
      <c r="E45" s="15"/>
      <c r="F45" s="15"/>
      <c r="G45" s="15"/>
      <c r="H45" s="15"/>
      <c r="I45" s="15"/>
      <c r="J45" s="15"/>
      <c r="K45" s="16"/>
      <c r="L45" s="4"/>
      <c r="M45" s="4"/>
      <c r="N45" s="4"/>
    </row>
    <row r="46" spans="1:14">
      <c r="B46" s="4"/>
      <c r="C46" s="4"/>
      <c r="D46" s="4"/>
      <c r="E46" s="4"/>
      <c r="F46" s="4"/>
      <c r="G46" s="4"/>
      <c r="H46" s="4"/>
      <c r="I46" s="4"/>
      <c r="J46" s="4"/>
      <c r="K46" s="4"/>
      <c r="L46" s="4"/>
      <c r="M46" s="4"/>
      <c r="N46" s="4"/>
    </row>
    <row r="47" spans="1:14">
      <c r="B47" s="4"/>
      <c r="C47" s="4"/>
      <c r="D47" s="4"/>
      <c r="E47" s="4"/>
      <c r="F47" s="4"/>
      <c r="G47" s="4"/>
      <c r="H47" s="4"/>
      <c r="I47" s="4"/>
      <c r="J47" s="4"/>
      <c r="K47" s="4"/>
      <c r="L47" s="4"/>
      <c r="M47" s="4"/>
      <c r="N47" s="4"/>
    </row>
    <row r="48" spans="1:14">
      <c r="B48" s="4"/>
      <c r="C48" s="4"/>
      <c r="D48" s="4"/>
      <c r="E48" s="4"/>
      <c r="F48" s="4"/>
      <c r="G48" s="4"/>
      <c r="H48" s="4"/>
      <c r="I48" s="4"/>
      <c r="J48" s="4"/>
      <c r="K48" s="4"/>
      <c r="L48" s="4"/>
      <c r="M48" s="4"/>
      <c r="N48" s="4"/>
    </row>
  </sheetData>
  <mergeCells count="14">
    <mergeCell ref="C43:C44"/>
    <mergeCell ref="J43:J44"/>
    <mergeCell ref="C3:J3"/>
    <mergeCell ref="C4:J4"/>
    <mergeCell ref="C6:J8"/>
    <mergeCell ref="C18:J19"/>
    <mergeCell ref="C22:J23"/>
    <mergeCell ref="C26:J28"/>
    <mergeCell ref="C14:J15"/>
    <mergeCell ref="C9:J9"/>
    <mergeCell ref="C31:J33"/>
    <mergeCell ref="C36:J37"/>
    <mergeCell ref="C40:J41"/>
    <mergeCell ref="C11:J11"/>
  </mergeCells>
  <phoneticPr fontId="0" type="noConversion"/>
  <pageMargins left="0.75" right="0.75" top="1" bottom="1" header="0.5" footer="0.5"/>
  <pageSetup orientation="portrait" r:id="rId1"/>
  <headerFooter alignWithMargins="0"/>
  <legacyDrawing r:id="rId2"/>
  <controls>
    <control shapeId="1025" r:id="rId3" name="ComboBox1"/>
    <control shapeId="1026" r:id="rId4" name="ComboBox2"/>
    <control shapeId="1027" r:id="rId5" name="ComboBox3"/>
    <control shapeId="1028" r:id="rId6" name="ComboBox4"/>
    <control shapeId="1029" r:id="rId7" name="ComboBox5"/>
    <control shapeId="1030" r:id="rId8" name="ComboBox6"/>
    <control shapeId="1031" r:id="rId9" name="ComboBox7"/>
    <control shapeId="1032" r:id="rId10" name="ComboBox8"/>
    <control shapeId="1033" r:id="rId11" name="ComboBox9"/>
    <control shapeId="1034" r:id="rId12" name="ComboBox10"/>
    <control shapeId="1035" r:id="rId13" name="ComboBox11"/>
    <control shapeId="1036" r:id="rId14" name="ComboBox12"/>
    <control shapeId="1037" r:id="rId15" name="ComboBox13"/>
    <control shapeId="1038" r:id="rId16" name="ComboBox14"/>
    <control shapeId="1039" r:id="rId17" name="ComboBox15"/>
    <control shapeId="1040" r:id="rId18" name="ComboBox16"/>
    <control shapeId="1041" r:id="rId19" name="ComboBox17"/>
    <control shapeId="1042" r:id="rId20" name="ComboBox18"/>
    <control shapeId="1043" r:id="rId21" name="ComboBox19"/>
    <control shapeId="1044" r:id="rId22" name="ComboBox20"/>
    <control shapeId="1045" r:id="rId23" name="ComboBox21"/>
    <control shapeId="1046" r:id="rId24" name="ComboBox22"/>
    <control shapeId="1047" r:id="rId25" name="ComboBox23"/>
    <control shapeId="1048" r:id="rId26" name="ComboBox24"/>
    <control shapeId="1049" r:id="rId27" name="ComboBox25"/>
    <control shapeId="1050" r:id="rId28" name="ComboBox26"/>
    <control shapeId="1051" r:id="rId29" name="ComboBox27"/>
    <control shapeId="1052" r:id="rId30" name="ComboBox28"/>
    <control shapeId="1053" r:id="rId31" name="ComboBox29"/>
    <control shapeId="1054" r:id="rId32" name="ComboBox30"/>
    <control shapeId="1055" r:id="rId33" name="ComboBox31"/>
    <control shapeId="1056" r:id="rId34" name="ComboBox32"/>
    <control shapeId="1057" r:id="rId35" name="ComboBox33"/>
    <control shapeId="1067" r:id="rId36" name="ComboBox34"/>
    <control shapeId="1068" r:id="rId37" name="ComboBox35"/>
    <control shapeId="1069" r:id="rId38" name="ComboBox36"/>
    <control shapeId="1070" r:id="rId39" name="ComboBox37"/>
    <control shapeId="1071" r:id="rId40" name="ComboBox38"/>
    <control shapeId="1072" r:id="rId41" name="ComboBox39"/>
    <control shapeId="1073" r:id="rId42" name="ComboBox40"/>
    <control shapeId="1074" r:id="rId43" name="ComboBox41"/>
    <control shapeId="1075" r:id="rId44" name="ComboBox42"/>
    <control shapeId="1076" r:id="rId45" name="ComboBox43"/>
    <control shapeId="1077" r:id="rId46" name="ComboBox44"/>
    <control shapeId="1078" r:id="rId47" name="ComboBox45"/>
    <control shapeId="1079" r:id="rId48" name="ComboBox46"/>
    <control shapeId="1080" r:id="rId49" name="ComboBox47"/>
    <control shapeId="1081" r:id="rId50" name="ComboBox48"/>
  </controls>
</worksheet>
</file>

<file path=xl/worksheets/sheet2.xml><?xml version="1.0" encoding="utf-8"?>
<worksheet xmlns="http://schemas.openxmlformats.org/spreadsheetml/2006/main" xmlns:r="http://schemas.openxmlformats.org/officeDocument/2006/relationships">
  <dimension ref="B1:Y108"/>
  <sheetViews>
    <sheetView zoomScale="90" zoomScaleNormal="90" workbookViewId="0">
      <pane xSplit="4" ySplit="6" topLeftCell="E7" activePane="bottomRight" state="frozen"/>
      <selection pane="topRight" activeCell="E1" sqref="E1"/>
      <selection pane="bottomLeft" activeCell="A7" sqref="A7"/>
      <selection pane="bottomRight" activeCell="F61" sqref="F61:L62"/>
    </sheetView>
  </sheetViews>
  <sheetFormatPr defaultRowHeight="12.75"/>
  <cols>
    <col min="1" max="2" width="4.85546875" customWidth="1"/>
    <col min="3" max="3" width="5.140625" customWidth="1"/>
    <col min="4" max="4" width="48.42578125" customWidth="1"/>
    <col min="5" max="24" width="10.28515625" customWidth="1"/>
    <col min="25" max="25" width="4" customWidth="1"/>
  </cols>
  <sheetData>
    <row r="1" spans="2:25" ht="13.5" thickBot="1"/>
    <row r="2" spans="2:25">
      <c r="B2" s="6"/>
      <c r="C2" s="7"/>
      <c r="D2" s="7"/>
      <c r="E2" s="7"/>
      <c r="F2" s="7"/>
      <c r="G2" s="7"/>
      <c r="H2" s="7"/>
      <c r="I2" s="7"/>
      <c r="J2" s="7"/>
      <c r="K2" s="7"/>
      <c r="L2" s="7"/>
      <c r="M2" s="7"/>
      <c r="N2" s="7"/>
      <c r="O2" s="7"/>
      <c r="P2" s="7"/>
      <c r="Q2" s="7"/>
      <c r="R2" s="7"/>
      <c r="S2" s="7"/>
      <c r="T2" s="7"/>
      <c r="U2" s="7"/>
      <c r="V2" s="7"/>
      <c r="W2" s="7"/>
      <c r="X2" s="7"/>
      <c r="Y2" s="8"/>
    </row>
    <row r="3" spans="2:25" ht="15.75">
      <c r="B3" s="9"/>
      <c r="C3" s="27" t="s">
        <v>56</v>
      </c>
      <c r="D3" s="18"/>
      <c r="E3" s="18"/>
      <c r="F3" s="28"/>
      <c r="G3" s="28"/>
      <c r="H3" s="28"/>
      <c r="I3" s="28"/>
      <c r="J3" s="28"/>
      <c r="K3" s="28"/>
      <c r="L3" s="28"/>
      <c r="M3" s="28"/>
      <c r="N3" s="28"/>
      <c r="O3" s="28"/>
      <c r="P3" s="28"/>
      <c r="Q3" s="28"/>
      <c r="R3" s="28"/>
      <c r="S3" s="28"/>
      <c r="T3" s="28"/>
      <c r="U3" s="28"/>
      <c r="V3" s="28"/>
      <c r="W3" s="28"/>
      <c r="X3" s="28"/>
      <c r="Y3" s="21"/>
    </row>
    <row r="4" spans="2:25">
      <c r="B4" s="9"/>
      <c r="C4" s="10"/>
      <c r="D4" s="10"/>
      <c r="E4" s="10"/>
      <c r="F4" s="13"/>
      <c r="G4" s="13"/>
      <c r="H4" s="13"/>
      <c r="I4" s="13"/>
      <c r="J4" s="13"/>
      <c r="K4" s="13"/>
      <c r="L4" s="13"/>
      <c r="M4" s="13"/>
      <c r="N4" s="13"/>
      <c r="O4" s="13"/>
      <c r="P4" s="13"/>
      <c r="Q4" s="13"/>
      <c r="R4" s="13"/>
      <c r="S4" s="13"/>
      <c r="T4" s="13"/>
      <c r="U4" s="13"/>
      <c r="V4" s="13"/>
      <c r="W4" s="13"/>
      <c r="X4" s="13"/>
      <c r="Y4" s="21"/>
    </row>
    <row r="5" spans="2:25" ht="15.75">
      <c r="B5" s="9"/>
      <c r="C5" s="25" t="s">
        <v>23</v>
      </c>
      <c r="D5" s="10"/>
      <c r="E5" s="13"/>
      <c r="F5" s="10"/>
      <c r="G5" s="10"/>
      <c r="H5" s="10"/>
      <c r="I5" s="10"/>
      <c r="J5" s="10"/>
      <c r="K5" s="10"/>
      <c r="L5" s="10"/>
      <c r="M5" s="10"/>
      <c r="N5" s="10"/>
      <c r="O5" s="10"/>
      <c r="P5" s="10"/>
      <c r="Q5" s="10"/>
      <c r="R5" s="10"/>
      <c r="S5" s="10"/>
      <c r="T5" s="10"/>
      <c r="U5" s="10"/>
      <c r="V5" s="10"/>
      <c r="W5" s="10"/>
      <c r="X5" s="10"/>
      <c r="Y5" s="21"/>
    </row>
    <row r="6" spans="2:25">
      <c r="B6" s="9"/>
      <c r="C6" s="17" t="s">
        <v>7</v>
      </c>
      <c r="D6" s="17"/>
      <c r="E6" s="43">
        <v>1</v>
      </c>
      <c r="F6" s="43">
        <v>2</v>
      </c>
      <c r="G6" s="43">
        <v>3</v>
      </c>
      <c r="H6" s="43">
        <v>4</v>
      </c>
      <c r="I6" s="43">
        <v>5</v>
      </c>
      <c r="J6" s="43">
        <v>6</v>
      </c>
      <c r="K6" s="43">
        <v>7</v>
      </c>
      <c r="L6" s="43">
        <v>8</v>
      </c>
      <c r="M6" s="43">
        <v>9</v>
      </c>
      <c r="N6" s="43">
        <v>10</v>
      </c>
      <c r="O6" s="43">
        <v>11</v>
      </c>
      <c r="P6" s="43">
        <v>12</v>
      </c>
      <c r="Q6" s="43">
        <v>13</v>
      </c>
      <c r="R6" s="43">
        <v>14</v>
      </c>
      <c r="S6" s="43">
        <v>15</v>
      </c>
      <c r="T6" s="43">
        <v>16</v>
      </c>
      <c r="U6" s="43">
        <v>17</v>
      </c>
      <c r="V6" s="43">
        <v>18</v>
      </c>
      <c r="W6" s="43">
        <v>19</v>
      </c>
      <c r="X6" s="43">
        <v>20</v>
      </c>
      <c r="Y6" s="21"/>
    </row>
    <row r="7" spans="2:25">
      <c r="B7" s="9"/>
      <c r="C7" s="38"/>
      <c r="D7" s="39" t="s">
        <v>59</v>
      </c>
      <c r="E7" s="77">
        <v>3</v>
      </c>
      <c r="F7" s="77">
        <v>5</v>
      </c>
      <c r="G7" s="77">
        <v>10</v>
      </c>
      <c r="H7" s="77">
        <v>5</v>
      </c>
      <c r="I7" s="77">
        <v>12</v>
      </c>
      <c r="J7" s="77">
        <v>8</v>
      </c>
      <c r="K7" s="77">
        <v>3</v>
      </c>
      <c r="L7" s="77">
        <v>6</v>
      </c>
      <c r="M7" s="50"/>
      <c r="N7" s="50"/>
      <c r="O7" s="50"/>
      <c r="P7" s="50"/>
      <c r="Q7" s="50"/>
      <c r="R7" s="50"/>
      <c r="S7" s="50"/>
      <c r="T7" s="50"/>
      <c r="U7" s="50"/>
      <c r="V7" s="50"/>
      <c r="W7" s="50"/>
      <c r="X7" s="50"/>
      <c r="Y7" s="21"/>
    </row>
    <row r="8" spans="2:25">
      <c r="B8" s="9"/>
      <c r="C8" s="38"/>
      <c r="D8" s="38" t="s">
        <v>58</v>
      </c>
      <c r="E8" s="77">
        <v>3</v>
      </c>
      <c r="F8" s="77">
        <v>2</v>
      </c>
      <c r="G8" s="77">
        <v>7</v>
      </c>
      <c r="H8" s="77">
        <v>8</v>
      </c>
      <c r="I8" s="77">
        <v>7</v>
      </c>
      <c r="J8" s="77">
        <v>3</v>
      </c>
      <c r="K8" s="77">
        <v>0</v>
      </c>
      <c r="L8" s="77">
        <v>0</v>
      </c>
      <c r="M8" s="50"/>
      <c r="N8" s="50"/>
      <c r="O8" s="50"/>
      <c r="P8" s="50"/>
      <c r="Q8" s="50"/>
      <c r="R8" s="50"/>
      <c r="S8" s="50"/>
      <c r="T8" s="50"/>
      <c r="U8" s="50"/>
      <c r="V8" s="50"/>
      <c r="W8" s="50"/>
      <c r="X8" s="50"/>
      <c r="Y8" s="21"/>
    </row>
    <row r="9" spans="2:25">
      <c r="B9" s="9"/>
      <c r="C9" s="38"/>
      <c r="D9" s="39" t="s">
        <v>260</v>
      </c>
      <c r="E9" s="40" t="s">
        <v>261</v>
      </c>
      <c r="F9" s="40" t="s">
        <v>261</v>
      </c>
      <c r="G9" s="40" t="s">
        <v>261</v>
      </c>
      <c r="H9" s="40" t="s">
        <v>261</v>
      </c>
      <c r="I9" s="40" t="s">
        <v>261</v>
      </c>
      <c r="J9" s="40" t="s">
        <v>261</v>
      </c>
      <c r="K9" s="40" t="s">
        <v>261</v>
      </c>
      <c r="L9" s="40" t="s">
        <v>261</v>
      </c>
      <c r="M9" s="40"/>
      <c r="N9" s="40"/>
      <c r="O9" s="40"/>
      <c r="P9" s="40"/>
      <c r="Q9" s="40"/>
      <c r="R9" s="40"/>
      <c r="S9" s="40"/>
      <c r="T9" s="40"/>
      <c r="U9" s="40"/>
      <c r="V9" s="40"/>
      <c r="W9" s="40"/>
      <c r="X9" s="40"/>
      <c r="Y9" s="21"/>
    </row>
    <row r="10" spans="2:25" ht="25.5" customHeight="1">
      <c r="B10" s="9"/>
      <c r="C10" s="38"/>
      <c r="D10" s="39" t="s">
        <v>243</v>
      </c>
      <c r="E10" s="80" t="s">
        <v>248</v>
      </c>
      <c r="F10" s="80" t="s">
        <v>248</v>
      </c>
      <c r="G10" s="80" t="s">
        <v>248</v>
      </c>
      <c r="H10" s="80" t="s">
        <v>248</v>
      </c>
      <c r="I10" s="80" t="s">
        <v>248</v>
      </c>
      <c r="J10" s="80" t="s">
        <v>248</v>
      </c>
      <c r="K10" s="80" t="s">
        <v>248</v>
      </c>
      <c r="L10" s="80" t="s">
        <v>248</v>
      </c>
      <c r="M10" s="80"/>
      <c r="N10" s="80"/>
      <c r="O10" s="80"/>
      <c r="P10" s="80"/>
      <c r="Q10" s="80"/>
      <c r="R10" s="80"/>
      <c r="S10" s="80"/>
      <c r="T10" s="80"/>
      <c r="U10" s="80"/>
      <c r="V10" s="80"/>
      <c r="W10" s="80"/>
      <c r="X10" s="80"/>
      <c r="Y10" s="21"/>
    </row>
    <row r="11" spans="2:25" ht="12.75" customHeight="1">
      <c r="B11" s="9"/>
      <c r="C11" s="38"/>
      <c r="D11" s="39" t="s">
        <v>253</v>
      </c>
      <c r="E11" s="80" t="s">
        <v>254</v>
      </c>
      <c r="F11" s="80" t="s">
        <v>254</v>
      </c>
      <c r="G11" s="80" t="s">
        <v>254</v>
      </c>
      <c r="H11" s="80" t="s">
        <v>254</v>
      </c>
      <c r="I11" s="80" t="s">
        <v>254</v>
      </c>
      <c r="J11" s="80" t="s">
        <v>254</v>
      </c>
      <c r="K11" s="80" t="s">
        <v>254</v>
      </c>
      <c r="L11" s="80" t="s">
        <v>254</v>
      </c>
      <c r="M11" s="80"/>
      <c r="N11" s="80"/>
      <c r="O11" s="80"/>
      <c r="P11" s="80"/>
      <c r="Q11" s="80"/>
      <c r="R11" s="80"/>
      <c r="S11" s="80"/>
      <c r="T11" s="80"/>
      <c r="U11" s="80"/>
      <c r="V11" s="80"/>
      <c r="W11" s="80"/>
      <c r="X11" s="80"/>
      <c r="Y11" s="21"/>
    </row>
    <row r="12" spans="2:25" ht="12.75" customHeight="1">
      <c r="B12" s="9"/>
      <c r="C12" s="38"/>
      <c r="D12" s="39" t="s">
        <v>257</v>
      </c>
      <c r="E12" s="80" t="s">
        <v>111</v>
      </c>
      <c r="F12" s="80" t="s">
        <v>111</v>
      </c>
      <c r="G12" s="80" t="s">
        <v>111</v>
      </c>
      <c r="H12" s="80" t="s">
        <v>111</v>
      </c>
      <c r="I12" s="80" t="s">
        <v>111</v>
      </c>
      <c r="J12" s="80" t="s">
        <v>111</v>
      </c>
      <c r="K12" s="80" t="s">
        <v>111</v>
      </c>
      <c r="L12" s="80" t="s">
        <v>111</v>
      </c>
      <c r="M12" s="80"/>
      <c r="N12" s="80"/>
      <c r="O12" s="80"/>
      <c r="P12" s="80"/>
      <c r="Q12" s="80"/>
      <c r="R12" s="80"/>
      <c r="S12" s="80"/>
      <c r="T12" s="80"/>
      <c r="U12" s="80"/>
      <c r="V12" s="80"/>
      <c r="W12" s="80"/>
      <c r="X12" s="80"/>
      <c r="Y12" s="21"/>
    </row>
    <row r="13" spans="2:25" ht="12.75" customHeight="1">
      <c r="B13" s="9"/>
      <c r="C13" s="38"/>
      <c r="D13" s="39" t="s">
        <v>258</v>
      </c>
      <c r="E13" s="82">
        <v>2</v>
      </c>
      <c r="F13" s="82">
        <v>2</v>
      </c>
      <c r="G13" s="82">
        <v>2</v>
      </c>
      <c r="H13" s="82">
        <v>2</v>
      </c>
      <c r="I13" s="82">
        <v>2</v>
      </c>
      <c r="J13" s="82">
        <v>2</v>
      </c>
      <c r="K13" s="82">
        <v>2</v>
      </c>
      <c r="L13" s="82">
        <v>2</v>
      </c>
      <c r="M13" s="82"/>
      <c r="N13" s="82"/>
      <c r="O13" s="82"/>
      <c r="P13" s="82"/>
      <c r="Q13" s="82"/>
      <c r="R13" s="82"/>
      <c r="S13" s="82"/>
      <c r="T13" s="82"/>
      <c r="U13" s="82"/>
      <c r="V13" s="82"/>
      <c r="W13" s="82"/>
      <c r="X13" s="82"/>
      <c r="Y13" s="21"/>
    </row>
    <row r="14" spans="2:25">
      <c r="B14" s="9"/>
      <c r="C14" s="38"/>
      <c r="D14" s="39" t="s">
        <v>57</v>
      </c>
      <c r="E14" s="41">
        <v>3</v>
      </c>
      <c r="F14" s="41">
        <v>3</v>
      </c>
      <c r="G14" s="41">
        <v>3</v>
      </c>
      <c r="H14" s="41">
        <v>3</v>
      </c>
      <c r="I14" s="41">
        <v>3</v>
      </c>
      <c r="J14" s="41">
        <v>3</v>
      </c>
      <c r="K14" s="41">
        <v>3</v>
      </c>
      <c r="L14" s="41">
        <v>3</v>
      </c>
      <c r="M14" s="41"/>
      <c r="N14" s="41"/>
      <c r="O14" s="41"/>
      <c r="P14" s="41"/>
      <c r="Q14" s="41"/>
      <c r="R14" s="41"/>
      <c r="S14" s="41"/>
      <c r="T14" s="41"/>
      <c r="U14" s="41"/>
      <c r="V14" s="41"/>
      <c r="W14" s="41"/>
      <c r="X14" s="41"/>
      <c r="Y14" s="21"/>
    </row>
    <row r="15" spans="2:25">
      <c r="B15" s="9"/>
      <c r="C15" s="38"/>
      <c r="D15" s="38" t="s">
        <v>72</v>
      </c>
      <c r="E15" s="51">
        <v>0.45</v>
      </c>
      <c r="F15" s="51">
        <v>0.45</v>
      </c>
      <c r="G15" s="51">
        <v>0.45</v>
      </c>
      <c r="H15" s="51">
        <v>0.45</v>
      </c>
      <c r="I15" s="51">
        <v>0.45</v>
      </c>
      <c r="J15" s="51">
        <v>0.45</v>
      </c>
      <c r="K15" s="51">
        <v>0.45</v>
      </c>
      <c r="L15" s="51">
        <v>0.45</v>
      </c>
      <c r="M15" s="51"/>
      <c r="N15" s="51"/>
      <c r="O15" s="51"/>
      <c r="P15" s="51"/>
      <c r="Q15" s="51"/>
      <c r="R15" s="51"/>
      <c r="S15" s="51"/>
      <c r="T15" s="51"/>
      <c r="U15" s="51"/>
      <c r="V15" s="51"/>
      <c r="W15" s="51"/>
      <c r="X15" s="51"/>
      <c r="Y15" s="21"/>
    </row>
    <row r="16" spans="2:25">
      <c r="B16" s="9"/>
      <c r="C16" s="38"/>
      <c r="D16" s="38" t="s">
        <v>139</v>
      </c>
      <c r="E16" s="41">
        <v>4</v>
      </c>
      <c r="F16" s="41">
        <v>4</v>
      </c>
      <c r="G16" s="41">
        <v>4</v>
      </c>
      <c r="H16" s="41">
        <v>4</v>
      </c>
      <c r="I16" s="41">
        <v>4</v>
      </c>
      <c r="J16" s="41">
        <v>4</v>
      </c>
      <c r="K16" s="41">
        <v>4</v>
      </c>
      <c r="L16" s="41">
        <v>4</v>
      </c>
      <c r="M16" s="41"/>
      <c r="N16" s="41"/>
      <c r="O16" s="41"/>
      <c r="P16" s="41"/>
      <c r="Q16" s="41"/>
      <c r="R16" s="41"/>
      <c r="S16" s="41"/>
      <c r="T16" s="41"/>
      <c r="U16" s="41"/>
      <c r="V16" s="41"/>
      <c r="W16" s="41"/>
      <c r="X16" s="41"/>
      <c r="Y16" s="21"/>
    </row>
    <row r="17" spans="2:25">
      <c r="B17" s="9"/>
      <c r="C17" s="38"/>
      <c r="D17" s="38" t="s">
        <v>84</v>
      </c>
      <c r="E17" s="41">
        <v>1</v>
      </c>
      <c r="F17" s="41">
        <v>1</v>
      </c>
      <c r="G17" s="41">
        <v>2</v>
      </c>
      <c r="H17" s="41">
        <v>2</v>
      </c>
      <c r="I17" s="41">
        <v>2</v>
      </c>
      <c r="J17" s="41">
        <v>2</v>
      </c>
      <c r="K17" s="41">
        <v>1</v>
      </c>
      <c r="L17" s="41">
        <v>1</v>
      </c>
      <c r="M17" s="41"/>
      <c r="N17" s="41"/>
      <c r="O17" s="41"/>
      <c r="P17" s="41"/>
      <c r="Q17" s="41"/>
      <c r="R17" s="41"/>
      <c r="S17" s="41"/>
      <c r="T17" s="41"/>
      <c r="U17" s="41"/>
      <c r="V17" s="41"/>
      <c r="W17" s="41"/>
      <c r="X17" s="41"/>
      <c r="Y17" s="21"/>
    </row>
    <row r="18" spans="2:25">
      <c r="B18" s="9"/>
      <c r="C18" s="10"/>
      <c r="D18" s="10"/>
      <c r="E18" s="19"/>
      <c r="F18" s="10"/>
      <c r="G18" s="10"/>
      <c r="H18" s="10"/>
      <c r="I18" s="10"/>
      <c r="J18" s="10"/>
      <c r="K18" s="10"/>
      <c r="L18" s="10"/>
      <c r="M18" s="10"/>
      <c r="N18" s="10"/>
      <c r="O18" s="10"/>
      <c r="P18" s="10"/>
      <c r="Q18" s="10"/>
      <c r="R18" s="10"/>
      <c r="S18" s="10"/>
      <c r="T18" s="10"/>
      <c r="U18" s="10"/>
      <c r="V18" s="10"/>
      <c r="W18" s="10"/>
      <c r="X18" s="10"/>
      <c r="Y18" s="21"/>
    </row>
    <row r="19" spans="2:25">
      <c r="B19" s="9"/>
      <c r="C19" s="17" t="s">
        <v>8</v>
      </c>
      <c r="D19" s="26"/>
      <c r="E19" s="29"/>
      <c r="F19" s="26"/>
      <c r="G19" s="26"/>
      <c r="H19" s="26"/>
      <c r="I19" s="26"/>
      <c r="J19" s="26"/>
      <c r="K19" s="26"/>
      <c r="L19" s="26"/>
      <c r="M19" s="26"/>
      <c r="N19" s="26"/>
      <c r="O19" s="26"/>
      <c r="P19" s="26"/>
      <c r="Q19" s="26"/>
      <c r="R19" s="26"/>
      <c r="S19" s="26"/>
      <c r="T19" s="26"/>
      <c r="U19" s="26"/>
      <c r="V19" s="26"/>
      <c r="W19" s="26"/>
      <c r="X19" s="26"/>
      <c r="Y19" s="21"/>
    </row>
    <row r="20" spans="2:25" ht="14.25">
      <c r="B20" s="9"/>
      <c r="C20" s="31" t="s">
        <v>66</v>
      </c>
      <c r="D20" s="31" t="s">
        <v>88</v>
      </c>
      <c r="E20" s="36">
        <f>IF(E9="","",E7*IF(E9="All",IF(E10="None",VLOOKUP(E14,Lookup!$G$11:$I$15,2),E15),IF(E14&gt;E13,E15,1)))</f>
        <v>1.35</v>
      </c>
      <c r="F20" s="36">
        <f>IF(F9="","",F7*IF(F9="All",IF(F10="None",VLOOKUP(F14,Lookup!$G$11:$I$15,2),F15),IF(F14&gt;F13,F15,1)))</f>
        <v>2.25</v>
      </c>
      <c r="G20" s="36">
        <f>IF(G9="","",G7*IF(G9="All",IF(G10="None",VLOOKUP(G14,Lookup!$G$11:$I$15,2),G15),IF(G14&gt;G13,G15,1)))</f>
        <v>4.5</v>
      </c>
      <c r="H20" s="36">
        <f>IF(H9="","",H7*IF(H9="All",IF(H10="None",VLOOKUP(H14,Lookup!$G$11:$I$15,2),H15),IF(H14&gt;H13,H15,1)))</f>
        <v>2.25</v>
      </c>
      <c r="I20" s="36">
        <f>IF(I9="","",I7*IF(I9="All",IF(I10="None",VLOOKUP(I14,Lookup!$G$11:$I$15,2),I15),IF(I14&gt;I13,I15,1)))</f>
        <v>5.4</v>
      </c>
      <c r="J20" s="36">
        <f>IF(J9="","",J7*IF(J9="All",IF(J10="None",VLOOKUP(J14,Lookup!$G$11:$I$15,2),J15),IF(J14&gt;J13,J15,1)))</f>
        <v>3.6</v>
      </c>
      <c r="K20" s="36">
        <f>IF(K9="","",K7*IF(K9="All",IF(K10="None",VLOOKUP(K14,Lookup!$G$11:$I$15,2),K15),IF(K14&gt;K13,K15,1)))</f>
        <v>1.35</v>
      </c>
      <c r="L20" s="36">
        <f>IF(L9="","",L7*IF(L9="All",IF(L10="None",VLOOKUP(L14,Lookup!$G$11:$I$15,2),L15),IF(L14&gt;L13,L15,1)))</f>
        <v>2.7</v>
      </c>
      <c r="M20" s="36" t="str">
        <f>IF(M9="","",M7*IF(M9="All",IF(M10="None",VLOOKUP(M14,Lookup!$G$11:$I$15,2),M15),IF(M14&gt;M13,M15,1)))</f>
        <v/>
      </c>
      <c r="N20" s="36" t="str">
        <f>IF(N9="","",N7*IF(N9="All",IF(N10="None",VLOOKUP(N14,Lookup!$G$11:$I$15,2),N15),IF(N14&gt;N13,N15,1)))</f>
        <v/>
      </c>
      <c r="O20" s="36" t="str">
        <f>IF(O9="","",O7*IF(O9="All",IF(O10="None",VLOOKUP(O14,Lookup!$G$11:$I$15,2),O15),IF(O14&gt;O13,O15,1)))</f>
        <v/>
      </c>
      <c r="P20" s="36" t="str">
        <f>IF(P9="","",P7*IF(P9="All",IF(P10="None",VLOOKUP(P14,Lookup!$G$11:$I$15,2),P15),IF(P14&gt;P13,P15,1)))</f>
        <v/>
      </c>
      <c r="Q20" s="36" t="str">
        <f>IF(Q9="","",Q7*IF(Q9="All",IF(Q10="None",VLOOKUP(Q14,Lookup!$G$11:$I$15,2),Q15),IF(Q14&gt;Q13,Q15,1)))</f>
        <v/>
      </c>
      <c r="R20" s="36" t="str">
        <f>IF(R9="","",R7*IF(R9="All",IF(R10="None",VLOOKUP(R14,Lookup!$G$11:$I$15,2),R15),IF(R14&gt;R13,R15,1)))</f>
        <v/>
      </c>
      <c r="S20" s="36" t="str">
        <f>IF(S9="","",S7*IF(S9="All",IF(S10="None",VLOOKUP(S14,Lookup!$G$11:$I$15,2),S15),IF(S14&gt;S13,S15,1)))</f>
        <v/>
      </c>
      <c r="T20" s="36" t="str">
        <f>IF(T9="","",T7*IF(T9="All",IF(T10="None",VLOOKUP(T14,Lookup!$G$11:$I$15,2),T15),IF(T14&gt;T13,T15,1)))</f>
        <v/>
      </c>
      <c r="U20" s="36" t="str">
        <f>IF(U9="","",U7*IF(U9="All",IF(U10="None",VLOOKUP(U14,Lookup!$G$11:$I$15,2),U15),IF(U14&gt;U13,U15,1)))</f>
        <v/>
      </c>
      <c r="V20" s="36" t="str">
        <f>IF(V9="","",V7*IF(V9="All",IF(V10="None",VLOOKUP(V14,Lookup!$G$11:$I$15,2),V15),IF(V14&gt;V13,V15,1)))</f>
        <v/>
      </c>
      <c r="W20" s="36" t="str">
        <f>IF(W9="","",W7*IF(W9="All",IF(W10="None",VLOOKUP(W14,Lookup!$G$11:$I$15,2),W15),IF(W14&gt;W13,W15,1)))</f>
        <v/>
      </c>
      <c r="X20" s="36" t="str">
        <f>IF(X9="","",X7*IF(X9="All",IF(X10="None",VLOOKUP(X14,Lookup!$G$11:$I$15,2),X15),IF(X14&gt;X13,X15,1)))</f>
        <v/>
      </c>
      <c r="Y20" s="21"/>
    </row>
    <row r="21" spans="2:25" ht="14.25">
      <c r="B21" s="9"/>
      <c r="C21" s="31" t="s">
        <v>67</v>
      </c>
      <c r="D21" s="31" t="s">
        <v>89</v>
      </c>
      <c r="E21" s="36">
        <f>IF(E9="","",IF(AND(E13=E14,E9="Front"),"",IF(E9="Front",E7-E20,(E7-E20)/(E14-1))))</f>
        <v>1.65</v>
      </c>
      <c r="F21" s="36">
        <f t="shared" ref="F21:X21" si="0">IF(F9="","",IF(AND(F13=F14,F9="Front"),"",IF(F9="Front",F7-F20,(F7-F20)/(F14-1))))</f>
        <v>2.75</v>
      </c>
      <c r="G21" s="36">
        <f t="shared" si="0"/>
        <v>5.5</v>
      </c>
      <c r="H21" s="36">
        <f t="shared" si="0"/>
        <v>2.75</v>
      </c>
      <c r="I21" s="36">
        <f t="shared" si="0"/>
        <v>6.6</v>
      </c>
      <c r="J21" s="36">
        <f t="shared" si="0"/>
        <v>4.4000000000000004</v>
      </c>
      <c r="K21" s="36">
        <f t="shared" si="0"/>
        <v>1.65</v>
      </c>
      <c r="L21" s="36">
        <f t="shared" si="0"/>
        <v>3.3</v>
      </c>
      <c r="M21" s="36" t="str">
        <f t="shared" si="0"/>
        <v/>
      </c>
      <c r="N21" s="36" t="str">
        <f t="shared" si="0"/>
        <v/>
      </c>
      <c r="O21" s="36" t="str">
        <f t="shared" si="0"/>
        <v/>
      </c>
      <c r="P21" s="36" t="str">
        <f t="shared" si="0"/>
        <v/>
      </c>
      <c r="Q21" s="36" t="str">
        <f t="shared" si="0"/>
        <v/>
      </c>
      <c r="R21" s="36" t="str">
        <f t="shared" si="0"/>
        <v/>
      </c>
      <c r="S21" s="36" t="str">
        <f t="shared" si="0"/>
        <v/>
      </c>
      <c r="T21" s="36" t="str">
        <f t="shared" si="0"/>
        <v/>
      </c>
      <c r="U21" s="36" t="str">
        <f t="shared" si="0"/>
        <v/>
      </c>
      <c r="V21" s="36" t="str">
        <f t="shared" si="0"/>
        <v/>
      </c>
      <c r="W21" s="36" t="str">
        <f t="shared" si="0"/>
        <v/>
      </c>
      <c r="X21" s="36" t="str">
        <f t="shared" si="0"/>
        <v/>
      </c>
      <c r="Y21" s="21"/>
    </row>
    <row r="22" spans="2:25" ht="14.25">
      <c r="B22" s="9"/>
      <c r="C22" s="31" t="s">
        <v>68</v>
      </c>
      <c r="D22" s="31" t="s">
        <v>90</v>
      </c>
      <c r="E22" s="36" t="str">
        <f t="shared" ref="E22:X22" si="1">IF(E$9="Front","",IF(E$14&lt;3,"",E$21))</f>
        <v/>
      </c>
      <c r="F22" s="36" t="str">
        <f t="shared" si="1"/>
        <v/>
      </c>
      <c r="G22" s="36" t="str">
        <f t="shared" si="1"/>
        <v/>
      </c>
      <c r="H22" s="36" t="str">
        <f t="shared" si="1"/>
        <v/>
      </c>
      <c r="I22" s="36" t="str">
        <f t="shared" si="1"/>
        <v/>
      </c>
      <c r="J22" s="36" t="str">
        <f t="shared" si="1"/>
        <v/>
      </c>
      <c r="K22" s="36" t="str">
        <f t="shared" si="1"/>
        <v/>
      </c>
      <c r="L22" s="36" t="str">
        <f t="shared" si="1"/>
        <v/>
      </c>
      <c r="M22" s="36" t="str">
        <f t="shared" si="1"/>
        <v/>
      </c>
      <c r="N22" s="36" t="str">
        <f t="shared" si="1"/>
        <v/>
      </c>
      <c r="O22" s="36" t="str">
        <f t="shared" si="1"/>
        <v/>
      </c>
      <c r="P22" s="36" t="str">
        <f t="shared" si="1"/>
        <v/>
      </c>
      <c r="Q22" s="36" t="str">
        <f t="shared" si="1"/>
        <v/>
      </c>
      <c r="R22" s="36" t="str">
        <f t="shared" si="1"/>
        <v/>
      </c>
      <c r="S22" s="36" t="str">
        <f t="shared" si="1"/>
        <v/>
      </c>
      <c r="T22" s="36" t="str">
        <f t="shared" si="1"/>
        <v/>
      </c>
      <c r="U22" s="36" t="str">
        <f t="shared" si="1"/>
        <v/>
      </c>
      <c r="V22" s="36" t="str">
        <f t="shared" si="1"/>
        <v/>
      </c>
      <c r="W22" s="36" t="str">
        <f t="shared" si="1"/>
        <v/>
      </c>
      <c r="X22" s="36" t="str">
        <f t="shared" si="1"/>
        <v/>
      </c>
      <c r="Y22" s="21"/>
    </row>
    <row r="23" spans="2:25" ht="14.25">
      <c r="B23" s="9"/>
      <c r="C23" s="31" t="s">
        <v>69</v>
      </c>
      <c r="D23" s="31" t="s">
        <v>91</v>
      </c>
      <c r="E23" s="36" t="str">
        <f>IF(E$9="Front","",IF(E$14&lt;4,"",E$21))</f>
        <v/>
      </c>
      <c r="F23" s="36" t="str">
        <f t="shared" ref="F23:X23" si="2">IF(F$9="Front","",IF(F$14&lt;4,"",F$21))</f>
        <v/>
      </c>
      <c r="G23" s="36" t="str">
        <f t="shared" si="2"/>
        <v/>
      </c>
      <c r="H23" s="36" t="str">
        <f t="shared" si="2"/>
        <v/>
      </c>
      <c r="I23" s="36" t="str">
        <f t="shared" si="2"/>
        <v/>
      </c>
      <c r="J23" s="36" t="str">
        <f t="shared" si="2"/>
        <v/>
      </c>
      <c r="K23" s="36" t="str">
        <f t="shared" si="2"/>
        <v/>
      </c>
      <c r="L23" s="36" t="str">
        <f t="shared" si="2"/>
        <v/>
      </c>
      <c r="M23" s="36" t="str">
        <f t="shared" si="2"/>
        <v/>
      </c>
      <c r="N23" s="36" t="str">
        <f t="shared" si="2"/>
        <v/>
      </c>
      <c r="O23" s="36" t="str">
        <f t="shared" si="2"/>
        <v/>
      </c>
      <c r="P23" s="36" t="str">
        <f t="shared" si="2"/>
        <v/>
      </c>
      <c r="Q23" s="36" t="str">
        <f t="shared" si="2"/>
        <v/>
      </c>
      <c r="R23" s="36" t="str">
        <f t="shared" si="2"/>
        <v/>
      </c>
      <c r="S23" s="36" t="str">
        <f t="shared" si="2"/>
        <v/>
      </c>
      <c r="T23" s="36" t="str">
        <f t="shared" si="2"/>
        <v/>
      </c>
      <c r="U23" s="36" t="str">
        <f t="shared" si="2"/>
        <v/>
      </c>
      <c r="V23" s="36" t="str">
        <f t="shared" si="2"/>
        <v/>
      </c>
      <c r="W23" s="36" t="str">
        <f t="shared" si="2"/>
        <v/>
      </c>
      <c r="X23" s="36" t="str">
        <f t="shared" si="2"/>
        <v/>
      </c>
      <c r="Y23" s="21"/>
    </row>
    <row r="24" spans="2:25" ht="14.25">
      <c r="B24" s="9"/>
      <c r="C24" s="31" t="s">
        <v>70</v>
      </c>
      <c r="D24" s="31" t="s">
        <v>92</v>
      </c>
      <c r="E24" s="36" t="str">
        <f>IF(E$9="Front","",IF(E$14&lt;5,"",E$21))</f>
        <v/>
      </c>
      <c r="F24" s="36" t="str">
        <f t="shared" ref="F24:X24" si="3">IF(F$9="Front","",IF(F$14&lt;5,"",F$21))</f>
        <v/>
      </c>
      <c r="G24" s="36" t="str">
        <f t="shared" si="3"/>
        <v/>
      </c>
      <c r="H24" s="36" t="str">
        <f t="shared" si="3"/>
        <v/>
      </c>
      <c r="I24" s="36" t="str">
        <f t="shared" si="3"/>
        <v/>
      </c>
      <c r="J24" s="36" t="str">
        <f t="shared" si="3"/>
        <v/>
      </c>
      <c r="K24" s="36" t="str">
        <f t="shared" si="3"/>
        <v/>
      </c>
      <c r="L24" s="36" t="str">
        <f t="shared" si="3"/>
        <v/>
      </c>
      <c r="M24" s="36" t="str">
        <f t="shared" si="3"/>
        <v/>
      </c>
      <c r="N24" s="36" t="str">
        <f t="shared" si="3"/>
        <v/>
      </c>
      <c r="O24" s="36" t="str">
        <f t="shared" si="3"/>
        <v/>
      </c>
      <c r="P24" s="36" t="str">
        <f t="shared" si="3"/>
        <v/>
      </c>
      <c r="Q24" s="36" t="str">
        <f t="shared" si="3"/>
        <v/>
      </c>
      <c r="R24" s="36" t="str">
        <f t="shared" si="3"/>
        <v/>
      </c>
      <c r="S24" s="36" t="str">
        <f t="shared" si="3"/>
        <v/>
      </c>
      <c r="T24" s="36" t="str">
        <f t="shared" si="3"/>
        <v/>
      </c>
      <c r="U24" s="36" t="str">
        <f t="shared" si="3"/>
        <v/>
      </c>
      <c r="V24" s="36" t="str">
        <f t="shared" si="3"/>
        <v/>
      </c>
      <c r="W24" s="36" t="str">
        <f t="shared" si="3"/>
        <v/>
      </c>
      <c r="X24" s="36" t="str">
        <f t="shared" si="3"/>
        <v/>
      </c>
      <c r="Y24" s="21"/>
    </row>
    <row r="25" spans="2:25" ht="14.25">
      <c r="B25" s="9"/>
      <c r="C25" s="31" t="s">
        <v>71</v>
      </c>
      <c r="D25" s="31" t="s">
        <v>93</v>
      </c>
      <c r="E25" s="36" t="str">
        <f>IF(E$9="Front","",IF(E$14&lt;6,"",E$21))</f>
        <v/>
      </c>
      <c r="F25" s="36" t="str">
        <f t="shared" ref="F25:X25" si="4">IF(F$9="Front","",IF(F$14&lt;6,"",F$21))</f>
        <v/>
      </c>
      <c r="G25" s="36" t="str">
        <f t="shared" si="4"/>
        <v/>
      </c>
      <c r="H25" s="36" t="str">
        <f t="shared" si="4"/>
        <v/>
      </c>
      <c r="I25" s="36" t="str">
        <f t="shared" si="4"/>
        <v/>
      </c>
      <c r="J25" s="36" t="str">
        <f t="shared" si="4"/>
        <v/>
      </c>
      <c r="K25" s="36" t="str">
        <f t="shared" si="4"/>
        <v/>
      </c>
      <c r="L25" s="36" t="str">
        <f t="shared" si="4"/>
        <v/>
      </c>
      <c r="M25" s="36" t="str">
        <f t="shared" si="4"/>
        <v/>
      </c>
      <c r="N25" s="36" t="str">
        <f t="shared" si="4"/>
        <v/>
      </c>
      <c r="O25" s="36" t="str">
        <f t="shared" si="4"/>
        <v/>
      </c>
      <c r="P25" s="36" t="str">
        <f t="shared" si="4"/>
        <v/>
      </c>
      <c r="Q25" s="36" t="str">
        <f t="shared" si="4"/>
        <v/>
      </c>
      <c r="R25" s="36" t="str">
        <f t="shared" si="4"/>
        <v/>
      </c>
      <c r="S25" s="36" t="str">
        <f t="shared" si="4"/>
        <v/>
      </c>
      <c r="T25" s="36" t="str">
        <f t="shared" si="4"/>
        <v/>
      </c>
      <c r="U25" s="36" t="str">
        <f t="shared" si="4"/>
        <v/>
      </c>
      <c r="V25" s="36" t="str">
        <f t="shared" si="4"/>
        <v/>
      </c>
      <c r="W25" s="36" t="str">
        <f t="shared" si="4"/>
        <v/>
      </c>
      <c r="X25" s="36" t="str">
        <f t="shared" si="4"/>
        <v/>
      </c>
      <c r="Y25" s="21"/>
    </row>
    <row r="26" spans="2:25">
      <c r="B26" s="9"/>
      <c r="C26" s="31"/>
      <c r="D26" s="31"/>
      <c r="E26" s="35"/>
      <c r="F26" s="35"/>
      <c r="G26" s="35"/>
      <c r="H26" s="35"/>
      <c r="I26" s="35"/>
      <c r="J26" s="35"/>
      <c r="K26" s="35"/>
      <c r="L26" s="35"/>
      <c r="M26" s="35"/>
      <c r="N26" s="35"/>
      <c r="O26" s="35"/>
      <c r="P26" s="35"/>
      <c r="Q26" s="35"/>
      <c r="R26" s="35"/>
      <c r="S26" s="35"/>
      <c r="T26" s="35"/>
      <c r="U26" s="35"/>
      <c r="V26" s="35"/>
      <c r="W26" s="35"/>
      <c r="X26" s="35"/>
      <c r="Y26" s="21"/>
    </row>
    <row r="27" spans="2:25" ht="14.25">
      <c r="B27" s="9"/>
      <c r="C27" s="31" t="s">
        <v>60</v>
      </c>
      <c r="D27" s="31" t="s">
        <v>94</v>
      </c>
      <c r="E27" s="36">
        <f>IF(E9="","",E8*IF(E14&gt;E13,0,IF(E14=1,1,IF(E14=2,0.25,(1-VLOOKUP(E14,Lookup!$G$11:$I$15,3,FALSE))/(E14-1)))))</f>
        <v>0</v>
      </c>
      <c r="F27" s="36">
        <f>IF(F9="","",F8*IF(F14&gt;F13,0,IF(F14=1,1,IF(F14=2,0.25,1-VLOOKUP(F14,Lookup!$G$11:$I$15,3,FALSE)))))</f>
        <v>0</v>
      </c>
      <c r="G27" s="36">
        <f>IF(G9="","",G8*IF(G14&gt;G13,0,IF(G14=1,1,IF(G14=2,0.25,1-VLOOKUP(G14,Lookup!$G$11:$I$15,3,FALSE)))))</f>
        <v>0</v>
      </c>
      <c r="H27" s="36">
        <f>IF(H9="","",H8*IF(H14&gt;H13,0,IF(H14=1,1,IF(H14=2,0.25,1-VLOOKUP(H14,Lookup!$G$11:$I$15,3,FALSE)))))</f>
        <v>0</v>
      </c>
      <c r="I27" s="36">
        <f>IF(I9="","",I8*IF(I14&gt;I13,0,IF(I14=1,1,IF(I14=2,0.25,1-VLOOKUP(I14,Lookup!$G$11:$I$15,3,FALSE)))))</f>
        <v>0</v>
      </c>
      <c r="J27" s="36">
        <f>IF(J9="","",J8*IF(J14&gt;J13,0,IF(J14=1,1,IF(J14=2,0.25,1-VLOOKUP(J14,Lookup!$G$11:$I$15,3,FALSE)))))</f>
        <v>0</v>
      </c>
      <c r="K27" s="36">
        <f>IF(K9="","",K8*IF(K14&gt;K13,0,IF(K14=1,1,IF(K14=2,0.25,1-VLOOKUP(K14,Lookup!$G$11:$I$15,3,FALSE)))))</f>
        <v>0</v>
      </c>
      <c r="L27" s="36">
        <f>IF(L9="","",L8*IF(L14&gt;L13,0,IF(L14=1,1,IF(L14=2,0.25,1-VLOOKUP(L14,Lookup!$G$11:$I$15,3,FALSE)))))</f>
        <v>0</v>
      </c>
      <c r="M27" s="36" t="str">
        <f>IF(M9="","",M8*IF(M14&gt;M13,0,IF(M14=1,1,IF(M14=2,0.25,1-VLOOKUP(M14,Lookup!$G$11:$I$15,3,FALSE)))))</f>
        <v/>
      </c>
      <c r="N27" s="36" t="str">
        <f>IF(N9="","",N8*IF(N14&gt;N13,0,IF(N14=1,1,IF(N14=2,0.25,1-VLOOKUP(N14,Lookup!$G$11:$I$15,3,FALSE)))))</f>
        <v/>
      </c>
      <c r="O27" s="36" t="str">
        <f>IF(O9="","",O8*IF(O14&gt;O13,0,IF(O14=1,1,IF(O14=2,0.25,1-VLOOKUP(O14,Lookup!$G$11:$I$15,3,FALSE)))))</f>
        <v/>
      </c>
      <c r="P27" s="36" t="str">
        <f>IF(P9="","",P8*IF(P14&gt;P13,0,IF(P14=1,1,IF(P14=2,0.25,1-VLOOKUP(P14,Lookup!$G$11:$I$15,3,FALSE)))))</f>
        <v/>
      </c>
      <c r="Q27" s="36" t="str">
        <f>IF(Q9="","",Q8*IF(Q14&gt;Q13,0,IF(Q14=1,1,IF(Q14=2,0.25,1-VLOOKUP(Q14,Lookup!$G$11:$I$15,3,FALSE)))))</f>
        <v/>
      </c>
      <c r="R27" s="36" t="str">
        <f>IF(R9="","",R8*IF(R14&gt;R13,0,IF(R14=1,1,IF(R14=2,0.25,1-VLOOKUP(R14,Lookup!$G$11:$I$15,3,FALSE)))))</f>
        <v/>
      </c>
      <c r="S27" s="36" t="str">
        <f>IF(S9="","",S8*IF(S14&gt;S13,0,IF(S14=1,1,IF(S14=2,0.25,1-VLOOKUP(S14,Lookup!$G$11:$I$15,3,FALSE)))))</f>
        <v/>
      </c>
      <c r="T27" s="36" t="str">
        <f>IF(T9="","",T8*IF(T14&gt;T13,0,IF(T14=1,1,IF(T14=2,0.25,1-VLOOKUP(T14,Lookup!$G$11:$I$15,3,FALSE)))))</f>
        <v/>
      </c>
      <c r="U27" s="36" t="str">
        <f>IF(U9="","",U8*IF(U14&gt;U13,0,IF(U14=1,1,IF(U14=2,0.25,1-VLOOKUP(U14,Lookup!$G$11:$I$15,3,FALSE)))))</f>
        <v/>
      </c>
      <c r="V27" s="36" t="str">
        <f>IF(V9="","",V8*IF(V14&gt;V13,0,IF(V14=1,1,IF(V14=2,0.25,1-VLOOKUP(V14,Lookup!$G$11:$I$15,3,FALSE)))))</f>
        <v/>
      </c>
      <c r="W27" s="36" t="str">
        <f>IF(W9="","",W8*IF(W14&gt;W13,0,IF(W14=1,1,IF(W14=2,0.25,1-VLOOKUP(W14,Lookup!$G$11:$I$15,3,FALSE)))))</f>
        <v/>
      </c>
      <c r="X27" s="36" t="str">
        <f>IF(X9="","",X8*IF(X14&gt;X13,0,IF(X14=1,1,IF(X14=2,0.25,1-VLOOKUP(X14,Lookup!$G$11:$I$15,3,FALSE)))))</f>
        <v/>
      </c>
      <c r="Y27" s="21"/>
    </row>
    <row r="28" spans="2:25" ht="14.25">
      <c r="B28" s="9"/>
      <c r="C28" s="31" t="s">
        <v>61</v>
      </c>
      <c r="D28" s="31" t="s">
        <v>95</v>
      </c>
      <c r="E28" s="36">
        <f>IF(OR(E9="",E14=1),"",E8*IF(E13=1,1,IF(AND(E13=2,E14=3),0.25,(1-VLOOKUP(E14,Lookup!$G$11:$I$15,3,FALSE))/(E14-2))))</f>
        <v>0.75</v>
      </c>
      <c r="F28" s="36">
        <f>IF(OR(F9="",F14=1),"",F8*IF(F13=1,1,IF(AND(F13=2,F14=3),0.25,(1-VLOOKUP(F14,Lookup!$G$11:$I$15,3,FALSE))/(F14-2))))</f>
        <v>0.5</v>
      </c>
      <c r="G28" s="36">
        <f>IF(OR(G9="",G14=1),"",G8*IF(G13=1,1,IF(AND(G13=2,G14=3),0.25,(1-VLOOKUP(G14,Lookup!$G$11:$I$15,3,FALSE))/(G14-2))))</f>
        <v>1.75</v>
      </c>
      <c r="H28" s="36">
        <f>IF(OR(H9="",H14=1),"",H8*IF(H13=1,1,IF(AND(H13=2,H14=3),0.25,(1-VLOOKUP(H14,Lookup!$G$11:$I$15,3,FALSE))/(H14-2))))</f>
        <v>2</v>
      </c>
      <c r="I28" s="36">
        <f>IF(OR(I9="",I14=1),"",I8*IF(I13=1,1,IF(AND(I13=2,I14=3),0.25,(1-VLOOKUP(I14,Lookup!$G$11:$I$15,3,FALSE))/(I14-2))))</f>
        <v>1.75</v>
      </c>
      <c r="J28" s="36">
        <f>IF(OR(J9="",J14=1),"",J8*IF(J13=1,1,IF(AND(J13=2,J14=3),0.25,(1-VLOOKUP(J14,Lookup!$G$11:$I$15,3,FALSE))/(J14-2))))</f>
        <v>0.75</v>
      </c>
      <c r="K28" s="36">
        <f>IF(OR(K9="",K14=1),"",K8*IF(K13=1,1,IF(AND(K13=2,K14=3),0.25,(1-VLOOKUP(K14,Lookup!$G$11:$I$15,3,FALSE))/(K14-2))))</f>
        <v>0</v>
      </c>
      <c r="L28" s="36">
        <f>IF(OR(L9="",L14=1),"",L8*IF(L13=1,1,IF(AND(L13=2,L14=3),0.25,(1-VLOOKUP(L14,Lookup!$G$11:$I$15,3,FALSE))/(L14-2))))</f>
        <v>0</v>
      </c>
      <c r="M28" s="36" t="str">
        <f>IF(OR(M9="",M14=1),"",M8*IF(M13=1,1,IF(AND(M13=2,M14=3),0.25,(1-VLOOKUP(M14,Lookup!$G$11:$I$15,3,FALSE))/(M14-2))))</f>
        <v/>
      </c>
      <c r="N28" s="36" t="str">
        <f>IF(OR(N9="",N14=1),"",N8*IF(N13=1,1,IF(AND(N13=2,N14=3),0.25,(1-VLOOKUP(N14,Lookup!$G$11:$I$15,3,FALSE))/(N14-2))))</f>
        <v/>
      </c>
      <c r="O28" s="36" t="str">
        <f>IF(OR(O9="",O14=1),"",O8*IF(O13=1,1,IF(AND(O13=2,O14=3),0.25,(1-VLOOKUP(O14,Lookup!$G$11:$I$15,3,FALSE))/(O14-2))))</f>
        <v/>
      </c>
      <c r="P28" s="36" t="str">
        <f>IF(OR(P9="",P14=1),"",P8*IF(P13=1,1,IF(AND(P13=2,P14=3),0.25,(1-VLOOKUP(P14,Lookup!$G$11:$I$15,3,FALSE))/(P14-2))))</f>
        <v/>
      </c>
      <c r="Q28" s="36" t="str">
        <f>IF(OR(Q9="",Q14=1),"",Q8*IF(Q13=1,1,IF(AND(Q13=2,Q14=3),0.25,(1-VLOOKUP(Q14,Lookup!$G$11:$I$15,3,FALSE))/(Q14-2))))</f>
        <v/>
      </c>
      <c r="R28" s="36" t="str">
        <f>IF(OR(R9="",R14=1),"",R8*IF(R13=1,1,IF(AND(R13=2,R14=3),0.25,(1-VLOOKUP(R14,Lookup!$G$11:$I$15,3,FALSE))/(R14-2))))</f>
        <v/>
      </c>
      <c r="S28" s="36" t="str">
        <f>IF(OR(S9="",S14=1),"",S8*IF(S13=1,1,IF(AND(S13=2,S14=3),0.25,(1-VLOOKUP(S14,Lookup!$G$11:$I$15,3,FALSE))/(S14-2))))</f>
        <v/>
      </c>
      <c r="T28" s="36" t="str">
        <f>IF(OR(T9="",T14=1),"",T8*IF(T13=1,1,IF(AND(T13=2,T14=3),0.25,(1-VLOOKUP(T14,Lookup!$G$11:$I$15,3,FALSE))/(T14-2))))</f>
        <v/>
      </c>
      <c r="U28" s="36" t="str">
        <f>IF(OR(U9="",U14=1),"",U8*IF(U13=1,1,IF(AND(U13=2,U14=3),0.25,(1-VLOOKUP(U14,Lookup!$G$11:$I$15,3,FALSE))/(U14-2))))</f>
        <v/>
      </c>
      <c r="V28" s="36" t="str">
        <f>IF(OR(V9="",V14=1),"",V8*IF(V13=1,1,IF(AND(V13=2,V14=3),0.25,(1-VLOOKUP(V14,Lookup!$G$11:$I$15,3,FALSE))/(V14-2))))</f>
        <v/>
      </c>
      <c r="W28" s="36" t="str">
        <f>IF(OR(W9="",W14=1),"",W8*IF(W13=1,1,IF(AND(W13=2,W14=3),0.25,(1-VLOOKUP(W14,Lookup!$G$11:$I$15,3,FALSE))/(W14-2))))</f>
        <v/>
      </c>
      <c r="X28" s="36" t="str">
        <f>IF(OR(X9="",X14=1),"",X8*IF(X13=1,1,IF(AND(X13=2,X14=3),0.25,(1-VLOOKUP(X14,Lookup!$G$11:$I$15,3,FALSE))/(X14-2))))</f>
        <v/>
      </c>
      <c r="Y28" s="21"/>
    </row>
    <row r="29" spans="2:25" ht="14.25">
      <c r="B29" s="9"/>
      <c r="C29" s="31" t="s">
        <v>62</v>
      </c>
      <c r="D29" s="31" t="s">
        <v>96</v>
      </c>
      <c r="E29" s="36">
        <f>IF(OR(E9="",E14&lt;3),"",E8*IF(AND(E13=2,E14=3),0.75,VLOOKUP(E14,Lookup!$G$11:$I$15,3,FALSE)))</f>
        <v>2.25</v>
      </c>
      <c r="F29" s="36">
        <f>IF(OR(F9="",F14&lt;3),"",F8*IF(AND(F13=2,F14=3),0.75,VLOOKUP(F14,Lookup!$G$11:$I$15,3,FALSE)))</f>
        <v>1.5</v>
      </c>
      <c r="G29" s="36">
        <f>IF(OR(G9="",G14&lt;3),"",G8*IF(AND(G13=2,G14=3),0.75,VLOOKUP(G14,Lookup!$G$11:$I$15,3,FALSE)))</f>
        <v>5.25</v>
      </c>
      <c r="H29" s="36">
        <f>IF(OR(H9="",H14&lt;3),"",H8*IF(AND(H13=2,H14=3),0.75,VLOOKUP(H14,Lookup!$G$11:$I$15,3,FALSE)))</f>
        <v>6</v>
      </c>
      <c r="I29" s="36">
        <f>IF(OR(I9="",I14&lt;3),"",I8*IF(AND(I13=2,I14=3),0.75,VLOOKUP(I14,Lookup!$G$11:$I$15,3,FALSE)))</f>
        <v>5.25</v>
      </c>
      <c r="J29" s="36">
        <f>IF(OR(J9="",J14&lt;3),"",J8*IF(AND(J13=2,J14=3),0.75,VLOOKUP(J14,Lookup!$G$11:$I$15,3,FALSE)))</f>
        <v>2.25</v>
      </c>
      <c r="K29" s="36">
        <f>IF(OR(K9="",K14&lt;3),"",K8*IF(AND(K13=2,K14=3),0.75,VLOOKUP(K14,Lookup!$G$11:$I$15,3,FALSE)))</f>
        <v>0</v>
      </c>
      <c r="L29" s="36">
        <f>IF(OR(L9="",L14&lt;3),"",L8*IF(AND(L13=2,L14=3),0.75,VLOOKUP(L14,Lookup!$G$11:$I$15,3,FALSE)))</f>
        <v>0</v>
      </c>
      <c r="M29" s="36" t="str">
        <f>IF(OR(M9="",M14&lt;3),"",M8*IF(AND(M13=2,M14=3),0.75,VLOOKUP(M14,Lookup!$G$11:$I$15,3,FALSE)))</f>
        <v/>
      </c>
      <c r="N29" s="36" t="str">
        <f>IF(OR(N9="",N14&lt;3),"",N8*IF(AND(N13=2,N14=3),0.75,VLOOKUP(N14,Lookup!$G$11:$I$15,3,FALSE)))</f>
        <v/>
      </c>
      <c r="O29" s="36" t="str">
        <f>IF(OR(O9="",O14&lt;3),"",O8*IF(AND(O13=2,O14=3),0.75,VLOOKUP(O14,Lookup!$G$11:$I$15,3,FALSE)))</f>
        <v/>
      </c>
      <c r="P29" s="36" t="str">
        <f>IF(OR(P9="",P14&lt;3),"",P8*IF(AND(P13=2,P14=3),0.75,VLOOKUP(P14,Lookup!$G$11:$I$15,3,FALSE)))</f>
        <v/>
      </c>
      <c r="Q29" s="36" t="str">
        <f>IF(OR(Q9="",Q14&lt;3),"",Q8*IF(AND(Q13=2,Q14=3),0.75,VLOOKUP(Q14,Lookup!$G$11:$I$15,3,FALSE)))</f>
        <v/>
      </c>
      <c r="R29" s="36" t="str">
        <f>IF(OR(R9="",R14&lt;3),"",R8*IF(AND(R13=2,R14=3),0.75,VLOOKUP(R14,Lookup!$G$11:$I$15,3,FALSE)))</f>
        <v/>
      </c>
      <c r="S29" s="36" t="str">
        <f>IF(OR(S9="",S14&lt;3),"",S8*IF(AND(S13=2,S14=3),0.75,VLOOKUP(S14,Lookup!$G$11:$I$15,3,FALSE)))</f>
        <v/>
      </c>
      <c r="T29" s="36" t="str">
        <f>IF(OR(T9="",T14&lt;3),"",T8*IF(AND(T13=2,T14=3),0.75,VLOOKUP(T14,Lookup!$G$11:$I$15,3,FALSE)))</f>
        <v/>
      </c>
      <c r="U29" s="36" t="str">
        <f>IF(OR(U9="",U14&lt;3),"",U8*IF(AND(U13=2,U14=3),0.75,VLOOKUP(U14,Lookup!$G$11:$I$15,3,FALSE)))</f>
        <v/>
      </c>
      <c r="V29" s="36" t="str">
        <f>IF(OR(V9="",V14&lt;3),"",V8*IF(AND(V13=2,V14=3),0.75,VLOOKUP(V14,Lookup!$G$11:$I$15,3,FALSE)))</f>
        <v/>
      </c>
      <c r="W29" s="36" t="str">
        <f>IF(OR(W9="",W14&lt;3),"",W8*IF(AND(W13=2,W14=3),0.75,VLOOKUP(W14,Lookup!$G$11:$I$15,3,FALSE)))</f>
        <v/>
      </c>
      <c r="X29" s="36" t="str">
        <f>IF(OR(X9="",X14&lt;3),"",X8*IF(AND(X13=2,X14=3),0.75,VLOOKUP(X14,Lookup!$G$11:$I$15,3,FALSE)))</f>
        <v/>
      </c>
      <c r="Y29" s="21"/>
    </row>
    <row r="30" spans="2:25" ht="14.25">
      <c r="B30" s="9"/>
      <c r="C30" s="31" t="s">
        <v>63</v>
      </c>
      <c r="D30" s="31" t="s">
        <v>97</v>
      </c>
      <c r="E30" s="36" t="str">
        <f>IF(OR(E9="",E14&lt;4),"",(E8-SUM(E27:E29))/(E14-2))</f>
        <v/>
      </c>
      <c r="F30" s="36" t="str">
        <f t="shared" ref="F30:X30" si="5">IF(OR(F9="",F14&lt;4),"",(F8-SUM(F27:F29))/(F14-2))</f>
        <v/>
      </c>
      <c r="G30" s="36" t="str">
        <f t="shared" si="5"/>
        <v/>
      </c>
      <c r="H30" s="36" t="str">
        <f t="shared" si="5"/>
        <v/>
      </c>
      <c r="I30" s="36" t="str">
        <f t="shared" si="5"/>
        <v/>
      </c>
      <c r="J30" s="36" t="str">
        <f t="shared" si="5"/>
        <v/>
      </c>
      <c r="K30" s="36" t="str">
        <f t="shared" si="5"/>
        <v/>
      </c>
      <c r="L30" s="36" t="str">
        <f t="shared" si="5"/>
        <v/>
      </c>
      <c r="M30" s="36" t="str">
        <f t="shared" si="5"/>
        <v/>
      </c>
      <c r="N30" s="36" t="str">
        <f t="shared" si="5"/>
        <v/>
      </c>
      <c r="O30" s="36" t="str">
        <f t="shared" si="5"/>
        <v/>
      </c>
      <c r="P30" s="36" t="str">
        <f t="shared" si="5"/>
        <v/>
      </c>
      <c r="Q30" s="36" t="str">
        <f t="shared" si="5"/>
        <v/>
      </c>
      <c r="R30" s="36" t="str">
        <f t="shared" si="5"/>
        <v/>
      </c>
      <c r="S30" s="36" t="str">
        <f t="shared" si="5"/>
        <v/>
      </c>
      <c r="T30" s="36" t="str">
        <f t="shared" si="5"/>
        <v/>
      </c>
      <c r="U30" s="36" t="str">
        <f t="shared" si="5"/>
        <v/>
      </c>
      <c r="V30" s="36" t="str">
        <f t="shared" si="5"/>
        <v/>
      </c>
      <c r="W30" s="36" t="str">
        <f t="shared" si="5"/>
        <v/>
      </c>
      <c r="X30" s="36" t="str">
        <f t="shared" si="5"/>
        <v/>
      </c>
      <c r="Y30" s="21"/>
    </row>
    <row r="31" spans="2:25" ht="14.25">
      <c r="B31" s="9"/>
      <c r="C31" s="31" t="s">
        <v>64</v>
      </c>
      <c r="D31" s="31" t="s">
        <v>98</v>
      </c>
      <c r="E31" s="36" t="str">
        <f>IF(OR(E9="",E14&lt;5),"",(E8-SUM(E27:E29))/(E14-2))</f>
        <v/>
      </c>
      <c r="F31" s="36" t="str">
        <f t="shared" ref="F31:X31" si="6">IF(OR(F9="",F14&lt;5),"",(F8-SUM(F27:F29))/(F14-2))</f>
        <v/>
      </c>
      <c r="G31" s="36" t="str">
        <f t="shared" si="6"/>
        <v/>
      </c>
      <c r="H31" s="36" t="str">
        <f t="shared" si="6"/>
        <v/>
      </c>
      <c r="I31" s="36" t="str">
        <f t="shared" si="6"/>
        <v/>
      </c>
      <c r="J31" s="36" t="str">
        <f t="shared" si="6"/>
        <v/>
      </c>
      <c r="K31" s="36" t="str">
        <f t="shared" si="6"/>
        <v/>
      </c>
      <c r="L31" s="36" t="str">
        <f t="shared" si="6"/>
        <v/>
      </c>
      <c r="M31" s="36" t="str">
        <f t="shared" si="6"/>
        <v/>
      </c>
      <c r="N31" s="36" t="str">
        <f t="shared" si="6"/>
        <v/>
      </c>
      <c r="O31" s="36" t="str">
        <f t="shared" si="6"/>
        <v/>
      </c>
      <c r="P31" s="36" t="str">
        <f t="shared" si="6"/>
        <v/>
      </c>
      <c r="Q31" s="36" t="str">
        <f t="shared" si="6"/>
        <v/>
      </c>
      <c r="R31" s="36" t="str">
        <f t="shared" si="6"/>
        <v/>
      </c>
      <c r="S31" s="36" t="str">
        <f t="shared" si="6"/>
        <v/>
      </c>
      <c r="T31" s="36" t="str">
        <f t="shared" si="6"/>
        <v/>
      </c>
      <c r="U31" s="36" t="str">
        <f t="shared" si="6"/>
        <v/>
      </c>
      <c r="V31" s="36" t="str">
        <f t="shared" si="6"/>
        <v/>
      </c>
      <c r="W31" s="36" t="str">
        <f t="shared" si="6"/>
        <v/>
      </c>
      <c r="X31" s="36" t="str">
        <f t="shared" si="6"/>
        <v/>
      </c>
      <c r="Y31" s="21"/>
    </row>
    <row r="32" spans="2:25" ht="14.25">
      <c r="B32" s="9"/>
      <c r="C32" s="31" t="s">
        <v>65</v>
      </c>
      <c r="D32" s="31" t="s">
        <v>99</v>
      </c>
      <c r="E32" s="36" t="str">
        <f>IF(OR(E9="",E14&lt;6),"",(E8-SUM(E27:E29))/(E14-2))</f>
        <v/>
      </c>
      <c r="F32" s="36" t="str">
        <f t="shared" ref="F32:X32" si="7">IF(OR(F9="",F14&lt;6),"",(F8-SUM(F27:F29))/(F14-2))</f>
        <v/>
      </c>
      <c r="G32" s="36" t="str">
        <f t="shared" si="7"/>
        <v/>
      </c>
      <c r="H32" s="36" t="str">
        <f t="shared" si="7"/>
        <v/>
      </c>
      <c r="I32" s="36" t="str">
        <f t="shared" si="7"/>
        <v/>
      </c>
      <c r="J32" s="36" t="str">
        <f t="shared" si="7"/>
        <v/>
      </c>
      <c r="K32" s="36" t="str">
        <f t="shared" si="7"/>
        <v/>
      </c>
      <c r="L32" s="36" t="str">
        <f t="shared" si="7"/>
        <v/>
      </c>
      <c r="M32" s="36" t="str">
        <f t="shared" si="7"/>
        <v/>
      </c>
      <c r="N32" s="36" t="str">
        <f t="shared" si="7"/>
        <v/>
      </c>
      <c r="O32" s="36" t="str">
        <f t="shared" si="7"/>
        <v/>
      </c>
      <c r="P32" s="36" t="str">
        <f t="shared" si="7"/>
        <v/>
      </c>
      <c r="Q32" s="36" t="str">
        <f t="shared" si="7"/>
        <v/>
      </c>
      <c r="R32" s="36" t="str">
        <f t="shared" si="7"/>
        <v/>
      </c>
      <c r="S32" s="36" t="str">
        <f t="shared" si="7"/>
        <v/>
      </c>
      <c r="T32" s="36" t="str">
        <f t="shared" si="7"/>
        <v/>
      </c>
      <c r="U32" s="36" t="str">
        <f t="shared" si="7"/>
        <v/>
      </c>
      <c r="V32" s="36" t="str">
        <f t="shared" si="7"/>
        <v/>
      </c>
      <c r="W32" s="36" t="str">
        <f t="shared" si="7"/>
        <v/>
      </c>
      <c r="X32" s="36" t="str">
        <f t="shared" si="7"/>
        <v/>
      </c>
      <c r="Y32" s="21"/>
    </row>
    <row r="33" spans="2:25">
      <c r="B33" s="9"/>
      <c r="C33" s="31"/>
      <c r="D33" s="31"/>
      <c r="E33" s="36"/>
      <c r="F33" s="36"/>
      <c r="G33" s="36"/>
      <c r="H33" s="36"/>
      <c r="I33" s="36"/>
      <c r="J33" s="36"/>
      <c r="K33" s="36"/>
      <c r="L33" s="36"/>
      <c r="M33" s="36"/>
      <c r="N33" s="36"/>
      <c r="O33" s="36"/>
      <c r="P33" s="36"/>
      <c r="Q33" s="36"/>
      <c r="R33" s="36"/>
      <c r="S33" s="36"/>
      <c r="T33" s="36"/>
      <c r="U33" s="36"/>
      <c r="V33" s="36"/>
      <c r="W33" s="36"/>
      <c r="X33" s="36"/>
      <c r="Y33" s="21"/>
    </row>
    <row r="34" spans="2:25" ht="14.25">
      <c r="B34" s="9"/>
      <c r="C34" s="31" t="s">
        <v>73</v>
      </c>
      <c r="D34" s="31" t="s">
        <v>234</v>
      </c>
      <c r="E34" s="45">
        <f>IF(E9="","",IF(E27*3&gt;E20,1.2,1)*(0.5*(E11="Stairs")+1*(E11="Steep stairs")+0.5*(E12="Yes")+VLOOKUP(E10,'Default Values'!$B$5:$C$12,2,FALSE)))</f>
        <v>4.5</v>
      </c>
      <c r="F34" s="45">
        <f>IF(F9="","",IF(F27*3&gt;F20,1.2,1)*(0.5*(F11="Stairs")+1*(F11="Steep stairs")+0.5*(F12="Yes")+IF(F9="Pay on exit",1.75,VLOOKUP(F10,'Default Values'!$B$5:$C$12,2,FALSE))))</f>
        <v>4.5</v>
      </c>
      <c r="G34" s="45">
        <f>IF(G9="","",IF(G27*3&gt;G20,1.2,1)*(0.5*(G11="Stairs")+1*(G11="Steep stairs")+0.5*(G12="Yes")+IF(G9="Pay on exit",1.75,VLOOKUP(G10,'Default Values'!$B$5:$C$12,2,FALSE))))</f>
        <v>4.5</v>
      </c>
      <c r="H34" s="45">
        <f>IF(H9="","",IF(H27*3&gt;H20,1.2,1)*(0.5*(H11="Stairs")+1*(H11="Steep stairs")+0.5*(H12="Yes")+IF(H9="Pay on exit",1.75,VLOOKUP(H10,'Default Values'!$B$5:$C$12,2,FALSE))))</f>
        <v>4.5</v>
      </c>
      <c r="I34" s="45">
        <f>IF(I9="","",IF(I27*3&gt;I20,1.2,1)*(0.5*(I11="Stairs")+1*(I11="Steep stairs")+0.5*(I12="Yes")+IF(I9="Pay on exit",1.75,VLOOKUP(I10,'Default Values'!$B$5:$C$12,2,FALSE))))</f>
        <v>4.5</v>
      </c>
      <c r="J34" s="45">
        <f>IF(J9="","",IF(J27*3&gt;J20,1.2,1)*(0.5*(J11="Stairs")+1*(J11="Steep stairs")+0.5*(J12="Yes")+IF(J9="Pay on exit",1.75,VLOOKUP(J10,'Default Values'!$B$5:$C$12,2,FALSE))))</f>
        <v>4.5</v>
      </c>
      <c r="K34" s="45">
        <f>IF(K9="","",IF(K27*3&gt;K20,1.2,1)*(0.5*(K11="Stairs")+1*(K11="Steep stairs")+0.5*(K12="Yes")+IF(K9="Pay on exit",1.75,VLOOKUP(K10,'Default Values'!$B$5:$C$12,2,FALSE))))</f>
        <v>4.5</v>
      </c>
      <c r="L34" s="45">
        <f>IF(L9="","",IF(L27*3&gt;L20,1.2,1)*(0.5*(L11="Stairs")+1*(L11="Steep stairs")+0.5*(L12="Yes")+IF(L9="Pay on exit",1.75,VLOOKUP(L10,'Default Values'!$B$5:$C$12,2,FALSE))))</f>
        <v>4.5</v>
      </c>
      <c r="M34" s="45" t="str">
        <f>IF(M9="","",IF(M27*3&gt;M20,1.2,1)*(0.5*(M11="Stairs")+1*(M11="Steep stairs")+0.5*(M12="Yes")+IF(M9="Pay on exit",1.75,VLOOKUP(M10,'Default Values'!$B$5:$C$12,2,FALSE))))</f>
        <v/>
      </c>
      <c r="N34" s="45" t="str">
        <f>IF(N9="","",IF(N27*3&gt;N20,1.2,1)*(0.5*(N11="Stairs")+1*(N11="Steep stairs")+0.5*(N12="Yes")+IF(N9="Pay on exit",1.75,VLOOKUP(N10,'Default Values'!$B$5:$C$12,2,FALSE))))</f>
        <v/>
      </c>
      <c r="O34" s="45" t="str">
        <f>IF(O9="","",IF(O27*3&gt;O20,1.2,1)*(0.5*(O11="Stairs")+1*(O11="Steep stairs")+0.5*(O12="Yes")+IF(O9="Pay on exit",1.75,VLOOKUP(O10,'Default Values'!$B$5:$C$12,2,FALSE))))</f>
        <v/>
      </c>
      <c r="P34" s="45" t="str">
        <f>IF(P9="","",IF(P27*3&gt;P20,1.2,1)*(0.5*(P11="Stairs")+1*(P11="Steep stairs")+0.5*(P12="Yes")+IF(P9="Pay on exit",1.75,VLOOKUP(P10,'Default Values'!$B$5:$C$12,2,FALSE))))</f>
        <v/>
      </c>
      <c r="Q34" s="45" t="str">
        <f>IF(Q9="","",IF(Q27*3&gt;Q20,1.2,1)*(0.5*(Q11="Stairs")+1*(Q11="Steep stairs")+0.5*(Q12="Yes")+IF(Q9="Pay on exit",1.75,VLOOKUP(Q10,'Default Values'!$B$5:$C$12,2,FALSE))))</f>
        <v/>
      </c>
      <c r="R34" s="45" t="str">
        <f>IF(R9="","",IF(R27*3&gt;R20,1.2,1)*(0.5*(R11="Stairs")+1*(R11="Steep stairs")+0.5*(R12="Yes")+IF(R9="Pay on exit",1.75,VLOOKUP(R10,'Default Values'!$B$5:$C$12,2,FALSE))))</f>
        <v/>
      </c>
      <c r="S34" s="45" t="str">
        <f>IF(S9="","",IF(S27*3&gt;S20,1.2,1)*(0.5*(S11="Stairs")+1*(S11="Steep stairs")+0.5*(S12="Yes")+IF(S9="Pay on exit",1.75,VLOOKUP(S10,'Default Values'!$B$5:$C$12,2,FALSE))))</f>
        <v/>
      </c>
      <c r="T34" s="45" t="str">
        <f>IF(T9="","",IF(T27*3&gt;T20,1.2,1)*(0.5*(T11="Stairs")+1*(T11="Steep stairs")+0.5*(T12="Yes")+IF(T9="Pay on exit",1.75,VLOOKUP(T10,'Default Values'!$B$5:$C$12,2,FALSE))))</f>
        <v/>
      </c>
      <c r="U34" s="45" t="str">
        <f>IF(U9="","",IF(U27*3&gt;U20,1.2,1)*(0.5*(U11="Stairs")+1*(U11="Steep stairs")+0.5*(U12="Yes")+IF(U9="Pay on exit",1.75,VLOOKUP(U10,'Default Values'!$B$5:$C$12,2,FALSE))))</f>
        <v/>
      </c>
      <c r="V34" s="45" t="str">
        <f>IF(V9="","",IF(V27*3&gt;V20,1.2,1)*(0.5*(V11="Stairs")+1*(V11="Steep stairs")+0.5*(V12="Yes")+IF(V9="Pay on exit",1.75,VLOOKUP(V10,'Default Values'!$B$5:$C$12,2,FALSE))))</f>
        <v/>
      </c>
      <c r="W34" s="45" t="str">
        <f>IF(W9="","",IF(W27*3&gt;W20,1.2,1)*(0.5*(W11="Stairs")+1*(W11="Steep stairs")+0.5*(W12="Yes")+IF(W9="Pay on exit",1.75,VLOOKUP(W10,'Default Values'!$B$5:$C$12,2,FALSE))))</f>
        <v/>
      </c>
      <c r="X34" s="45" t="str">
        <f>IF(X9="","",IF(X27*3&gt;X20,1.2,1)*(0.5*(X11="Stairs")+1*(X11="Steep stairs")+0.5*(X12="Yes")+IF(X9="Pay on exit",1.75,VLOOKUP(X10,'Default Values'!$B$5:$C$12,2,FALSE))))</f>
        <v/>
      </c>
      <c r="Y34" s="21"/>
    </row>
    <row r="35" spans="2:25" ht="14.25">
      <c r="B35" s="9"/>
      <c r="C35" s="31" t="s">
        <v>263</v>
      </c>
      <c r="D35" s="31" t="s">
        <v>264</v>
      </c>
      <c r="E35" s="45">
        <f>IF(OR(E21="",E14=1),"",IF(E28*3&gt;E21,1.2,1)*(0.5*(E11="Stairs")+1*(E11="Steep stairs")+0.5*(E12="Yes")+IF(AND(E14&gt;E13,E10&lt;&gt;"None"),'Default Values'!$C$6,IF(E10="Smart card",'Default Values'!C11,'Default Values'!$C$5))))</f>
        <v>2.4</v>
      </c>
      <c r="F35" s="45">
        <f>IF(OR(F21="",F14=1),"",IF(F28*3&gt;F21,1.2,1)*(0.5*(F11="Stairs")+1*(F11="Steep stairs")+0.5*(F12="Yes")+IF(AND(F14&gt;F13,F10&lt;&gt;"None"),'Default Values'!$C$6,IF(F10="Smart card",'Default Values'!D11,'Default Values'!$C$5))))</f>
        <v>2</v>
      </c>
      <c r="G35" s="45">
        <f>IF(OR(G21="",G14=1),"",IF(G28*3&gt;G21,1.2,1)*(0.5*(G11="Stairs")+1*(G11="Steep stairs")+0.5*(G12="Yes")+IF(AND(G14&gt;G13,G10&lt;&gt;"None"),'Default Values'!$C$6,IF(G10="Smart card",'Default Values'!E11,'Default Values'!$C$5))))</f>
        <v>2</v>
      </c>
      <c r="H35" s="45">
        <f>IF(OR(H21="",H14=1),"",IF(H28*3&gt;H21,1.2,1)*(0.5*(H11="Stairs")+1*(H11="Steep stairs")+0.5*(H12="Yes")+IF(AND(H14&gt;H13,H10&lt;&gt;"None"),'Default Values'!$C$6,IF(H10="Smart card",'Default Values'!F11,'Default Values'!$C$5))))</f>
        <v>2.4</v>
      </c>
      <c r="I35" s="45">
        <f>IF(OR(I21="",I14=1),"",IF(I28*3&gt;I21,1.2,1)*(0.5*(I11="Stairs")+1*(I11="Steep stairs")+0.5*(I12="Yes")+IF(AND(I14&gt;I13,I10&lt;&gt;"None"),'Default Values'!$C$6,IF(I10="Smart card",'Default Values'!G11,'Default Values'!$C$5))))</f>
        <v>2</v>
      </c>
      <c r="J35" s="45">
        <f>IF(OR(J21="",J14=1),"",IF(J28*3&gt;J21,1.2,1)*(0.5*(J11="Stairs")+1*(J11="Steep stairs")+0.5*(J12="Yes")+IF(AND(J14&gt;J13,J10&lt;&gt;"None"),'Default Values'!$C$6,IF(J10="Smart card",'Default Values'!H11,'Default Values'!$C$5))))</f>
        <v>2</v>
      </c>
      <c r="K35" s="45">
        <f>IF(OR(K21="",K14=1),"",IF(K28*3&gt;K21,1.2,1)*(0.5*(K11="Stairs")+1*(K11="Steep stairs")+0.5*(K12="Yes")+IF(AND(K14&gt;K13,K10&lt;&gt;"None"),'Default Values'!$C$6,IF(K10="Smart card",'Default Values'!I11,'Default Values'!$C$5))))</f>
        <v>2</v>
      </c>
      <c r="L35" s="45">
        <f>IF(OR(L21="",L14=1),"",IF(L28*3&gt;L21,1.2,1)*(0.5*(L11="Stairs")+1*(L11="Steep stairs")+0.5*(L12="Yes")+IF(AND(L14&gt;L13,L10&lt;&gt;"None"),'Default Values'!$C$6,IF(L10="Smart card",'Default Values'!J11,'Default Values'!$C$5))))</f>
        <v>2</v>
      </c>
      <c r="M35" s="45" t="str">
        <f>IF(OR(M21="",M14=1),"",IF(M28*3&gt;M21,1.2,1)*(0.5*(M11="Stairs")+1*(M11="Steep stairs")+0.5*(M12="Yes")+IF(AND(M14&gt;M13,M10&lt;&gt;"None"),'Default Values'!$C$6,IF(M10="Smart card",'Default Values'!K11,'Default Values'!$C$5))))</f>
        <v/>
      </c>
      <c r="N35" s="45" t="str">
        <f>IF(OR(N21="",N14=1),"",IF(N28*3&gt;N21,1.2,1)*(0.5*(N11="Stairs")+1*(N11="Steep stairs")+0.5*(N12="Yes")+IF(AND(N14&gt;N13,N10&lt;&gt;"None"),'Default Values'!$C$6,IF(N10="Smart card",'Default Values'!L11,'Default Values'!$C$5))))</f>
        <v/>
      </c>
      <c r="O35" s="45" t="str">
        <f>IF(OR(O21="",O14=1),"",IF(O28*3&gt;O21,1.2,1)*(0.5*(O11="Stairs")+1*(O11="Steep stairs")+0.5*(O12="Yes")+IF(AND(O14&gt;O13,O10&lt;&gt;"None"),'Default Values'!$C$6,IF(O10="Smart card",'Default Values'!M11,'Default Values'!$C$5))))</f>
        <v/>
      </c>
      <c r="P35" s="45" t="str">
        <f>IF(OR(P21="",P14=1),"",IF(P28*3&gt;P21,1.2,1)*(0.5*(P11="Stairs")+1*(P11="Steep stairs")+0.5*(P12="Yes")+IF(AND(P14&gt;P13,P10&lt;&gt;"None"),'Default Values'!$C$6,IF(P10="Smart card",'Default Values'!N11,'Default Values'!$C$5))))</f>
        <v/>
      </c>
      <c r="Q35" s="45" t="str">
        <f>IF(OR(Q21="",Q14=1),"",IF(Q28*3&gt;Q21,1.2,1)*(0.5*(Q11="Stairs")+1*(Q11="Steep stairs")+0.5*(Q12="Yes")+IF(AND(Q14&gt;Q13,Q10&lt;&gt;"None"),'Default Values'!$C$6,IF(Q10="Smart card",'Default Values'!O11,'Default Values'!$C$5))))</f>
        <v/>
      </c>
      <c r="R35" s="45" t="str">
        <f>IF(OR(R21="",R14=1),"",IF(R28*3&gt;R21,1.2,1)*(0.5*(R11="Stairs")+1*(R11="Steep stairs")+0.5*(R12="Yes")+IF(AND(R14&gt;R13,R10&lt;&gt;"None"),'Default Values'!$C$6,IF(R10="Smart card",'Default Values'!P11,'Default Values'!$C$5))))</f>
        <v/>
      </c>
      <c r="S35" s="45" t="str">
        <f>IF(OR(S21="",S14=1),"",IF(S28*3&gt;S21,1.2,1)*(0.5*(S11="Stairs")+1*(S11="Steep stairs")+0.5*(S12="Yes")+IF(AND(S14&gt;S13,S10&lt;&gt;"None"),'Default Values'!$C$6,IF(S10="Smart card",'Default Values'!Q11,'Default Values'!$C$5))))</f>
        <v/>
      </c>
      <c r="T35" s="45" t="str">
        <f>IF(OR(T21="",T14=1),"",IF(T28*3&gt;T21,1.2,1)*(0.5*(T11="Stairs")+1*(T11="Steep stairs")+0.5*(T12="Yes")+IF(AND(T14&gt;T13,T10&lt;&gt;"None"),'Default Values'!$C$6,IF(T10="Smart card",'Default Values'!R11,'Default Values'!$C$5))))</f>
        <v/>
      </c>
      <c r="U35" s="45" t="str">
        <f>IF(OR(U21="",U14=1),"",IF(U28*3&gt;U21,1.2,1)*(0.5*(U11="Stairs")+1*(U11="Steep stairs")+0.5*(U12="Yes")+IF(AND(U14&gt;U13,U10&lt;&gt;"None"),'Default Values'!$C$6,IF(U10="Smart card",'Default Values'!S11,'Default Values'!$C$5))))</f>
        <v/>
      </c>
      <c r="V35" s="45" t="str">
        <f>IF(OR(V21="",V14=1),"",IF(V28*3&gt;V21,1.2,1)*(0.5*(V11="Stairs")+1*(V11="Steep stairs")+0.5*(V12="Yes")+IF(AND(V14&gt;V13,V10&lt;&gt;"None"),'Default Values'!$C$6,IF(V10="Smart card",'Default Values'!T11,'Default Values'!$C$5))))</f>
        <v/>
      </c>
      <c r="W35" s="45" t="str">
        <f>IF(OR(W21="",W14=1),"",IF(W28*3&gt;W21,1.2,1)*(0.5*(W11="Stairs")+1*(W11="Steep stairs")+0.5*(W12="Yes")+IF(AND(W14&gt;W13,W10&lt;&gt;"None"),'Default Values'!$C$6,IF(W10="Smart card",'Default Values'!U11,'Default Values'!$C$5))))</f>
        <v/>
      </c>
      <c r="X35" s="45" t="str">
        <f>IF(OR(X21="",X14=1),"",IF(X28*3&gt;X21,1.2,1)*(0.5*(X11="Stairs")+1*(X11="Steep stairs")+0.5*(X12="Yes")+IF(AND(X14&gt;X13,X10&lt;&gt;"None"),'Default Values'!$C$6,IF(X10="Smart card",'Default Values'!V11,'Default Values'!$C$5))))</f>
        <v/>
      </c>
      <c r="Y35" s="21"/>
    </row>
    <row r="36" spans="2:25" ht="14.25">
      <c r="B36" s="9"/>
      <c r="C36" s="31" t="s">
        <v>268</v>
      </c>
      <c r="D36" s="31" t="s">
        <v>265</v>
      </c>
      <c r="E36" s="45" t="str">
        <f>IF(E22="","",IF(E29*3&gt;E22,1.2,1)*(0.5*(E11="Stairs")+1*(E11="Steep stairs")+0.5*(E12="Yes")+IF(AND(E14&gt;E13,E10&lt;&gt;"None"),'Default Values'!$C$6,IF(E10="Smart card",'Default Values'!C11,'Default Values'!$C$5))))</f>
        <v/>
      </c>
      <c r="F36" s="45" t="str">
        <f>IF(F22="","",IF(F29*3&gt;F22,1.2,1)*(0.5*(F11="Stairs")+1*(F11="Steep stairs")+0.5*(F12="Yes")+IF(AND(F14&gt;F13,F10&lt;&gt;"None"),'Default Values'!$C$6,IF(F10="Smart card",'Default Values'!D11,'Default Values'!$C$5))))</f>
        <v/>
      </c>
      <c r="G36" s="45" t="str">
        <f>IF(G22="","",IF(G29*3&gt;G22,1.2,1)*(0.5*(G11="Stairs")+1*(G11="Steep stairs")+0.5*(G12="Yes")+IF(AND(G14&gt;G13,G10&lt;&gt;"None"),'Default Values'!$C$6,IF(G10="Smart card",'Default Values'!E11,'Default Values'!$C$5))))</f>
        <v/>
      </c>
      <c r="H36" s="45" t="str">
        <f>IF(H22="","",IF(H29*3&gt;H22,1.2,1)*(0.5*(H11="Stairs")+1*(H11="Steep stairs")+0.5*(H12="Yes")+IF(AND(H14&gt;H13,H10&lt;&gt;"None"),'Default Values'!$C$6,IF(H10="Smart card",'Default Values'!F11,'Default Values'!$C$5))))</f>
        <v/>
      </c>
      <c r="I36" s="45" t="str">
        <f>IF(I22="","",IF(I29*3&gt;I22,1.2,1)*(0.5*(I11="Stairs")+1*(I11="Steep stairs")+0.5*(I12="Yes")+IF(AND(I14&gt;I13,I10&lt;&gt;"None"),'Default Values'!$C$6,IF(I10="Smart card",'Default Values'!G11,'Default Values'!$C$5))))</f>
        <v/>
      </c>
      <c r="J36" s="45" t="str">
        <f>IF(J22="","",IF(J29*3&gt;J22,1.2,1)*(0.5*(J11="Stairs")+1*(J11="Steep stairs")+0.5*(J12="Yes")+IF(AND(J14&gt;J13,J10&lt;&gt;"None"),'Default Values'!$C$6,IF(J10="Smart card",'Default Values'!H11,'Default Values'!$C$5))))</f>
        <v/>
      </c>
      <c r="K36" s="45" t="str">
        <f>IF(K22="","",IF(K29*3&gt;K22,1.2,1)*(0.5*(K11="Stairs")+1*(K11="Steep stairs")+0.5*(K12="Yes")+IF(AND(K14&gt;K13,K10&lt;&gt;"None"),'Default Values'!$C$6,IF(K10="Smart card",'Default Values'!I11,'Default Values'!$C$5))))</f>
        <v/>
      </c>
      <c r="L36" s="45" t="str">
        <f>IF(L22="","",IF(L29*3&gt;L22,1.2,1)*(0.5*(L11="Stairs")+1*(L11="Steep stairs")+0.5*(L12="Yes")+IF(AND(L14&gt;L13,L10&lt;&gt;"None"),'Default Values'!$C$6,IF(L10="Smart card",'Default Values'!J11,'Default Values'!$C$5))))</f>
        <v/>
      </c>
      <c r="M36" s="45" t="str">
        <f>IF(M22="","",IF(M29*3&gt;M22,1.2,1)*(0.5*(M11="Stairs")+1*(M11="Steep stairs")+0.5*(M12="Yes")+IF(AND(M14&gt;M13,M10&lt;&gt;"None"),'Default Values'!$C$6,IF(M10="Smart card",'Default Values'!K11,'Default Values'!$C$5))))</f>
        <v/>
      </c>
      <c r="N36" s="45" t="str">
        <f>IF(N22="","",IF(N29*3&gt;N22,1.2,1)*(0.5*(N11="Stairs")+1*(N11="Steep stairs")+0.5*(N12="Yes")+IF(AND(N14&gt;N13,N10&lt;&gt;"None"),'Default Values'!$C$6,IF(N10="Smart card",'Default Values'!L11,'Default Values'!$C$5))))</f>
        <v/>
      </c>
      <c r="O36" s="45" t="str">
        <f>IF(O22="","",IF(O29*3&gt;O22,1.2,1)*(0.5*(O11="Stairs")+1*(O11="Steep stairs")+0.5*(O12="Yes")+IF(AND(O14&gt;O13,O10&lt;&gt;"None"),'Default Values'!$C$6,IF(O10="Smart card",'Default Values'!M11,'Default Values'!$C$5))))</f>
        <v/>
      </c>
      <c r="P36" s="45" t="str">
        <f>IF(P22="","",IF(P29*3&gt;P22,1.2,1)*(0.5*(P11="Stairs")+1*(P11="Steep stairs")+0.5*(P12="Yes")+IF(AND(P14&gt;P13,P10&lt;&gt;"None"),'Default Values'!$C$6,IF(P10="Smart card",'Default Values'!N11,'Default Values'!$C$5))))</f>
        <v/>
      </c>
      <c r="Q36" s="45" t="str">
        <f>IF(Q22="","",IF(Q29*3&gt;Q22,1.2,1)*(0.5*(Q11="Stairs")+1*(Q11="Steep stairs")+0.5*(Q12="Yes")+IF(AND(Q14&gt;Q13,Q10&lt;&gt;"None"),'Default Values'!$C$6,IF(Q10="Smart card",'Default Values'!O11,'Default Values'!$C$5))))</f>
        <v/>
      </c>
      <c r="R36" s="45" t="str">
        <f>IF(R22="","",IF(R29*3&gt;R22,1.2,1)*(0.5*(R11="Stairs")+1*(R11="Steep stairs")+0.5*(R12="Yes")+IF(AND(R14&gt;R13,R10&lt;&gt;"None"),'Default Values'!$C$6,IF(R10="Smart card",'Default Values'!P11,'Default Values'!$C$5))))</f>
        <v/>
      </c>
      <c r="S36" s="45" t="str">
        <f>IF(S22="","",IF(S29*3&gt;S22,1.2,1)*(0.5*(S11="Stairs")+1*(S11="Steep stairs")+0.5*(S12="Yes")+IF(AND(S14&gt;S13,S10&lt;&gt;"None"),'Default Values'!$C$6,IF(S10="Smart card",'Default Values'!Q11,'Default Values'!$C$5))))</f>
        <v/>
      </c>
      <c r="T36" s="45" t="str">
        <f>IF(T22="","",IF(T29*3&gt;T22,1.2,1)*(0.5*(T11="Stairs")+1*(T11="Steep stairs")+0.5*(T12="Yes")+IF(AND(T14&gt;T13,T10&lt;&gt;"None"),'Default Values'!$C$6,IF(T10="Smart card",'Default Values'!R11,'Default Values'!$C$5))))</f>
        <v/>
      </c>
      <c r="U36" s="45" t="str">
        <f>IF(U22="","",IF(U29*3&gt;U22,1.2,1)*(0.5*(U11="Stairs")+1*(U11="Steep stairs")+0.5*(U12="Yes")+IF(AND(U14&gt;U13,U10&lt;&gt;"None"),'Default Values'!$C$6,IF(U10="Smart card",'Default Values'!S11,'Default Values'!$C$5))))</f>
        <v/>
      </c>
      <c r="V36" s="45" t="str">
        <f>IF(V22="","",IF(V29*3&gt;V22,1.2,1)*(0.5*(V11="Stairs")+1*(V11="Steep stairs")+0.5*(V12="Yes")+IF(AND(V14&gt;V13,V10&lt;&gt;"None"),'Default Values'!$C$6,IF(V10="Smart card",'Default Values'!T11,'Default Values'!$C$5))))</f>
        <v/>
      </c>
      <c r="W36" s="45" t="str">
        <f>IF(W22="","",IF(W29*3&gt;W22,1.2,1)*(0.5*(W11="Stairs")+1*(W11="Steep stairs")+0.5*(W12="Yes")+IF(AND(W14&gt;W13,W10&lt;&gt;"None"),'Default Values'!$C$6,IF(W10="Smart card",'Default Values'!U11,'Default Values'!$C$5))))</f>
        <v/>
      </c>
      <c r="X36" s="45" t="str">
        <f>IF(X22="","",IF(X29*3&gt;X22,1.2,1)*(0.5*(X11="Stairs")+1*(X11="Steep stairs")+0.5*(X12="Yes")+IF(AND(X14&gt;X13,X10&lt;&gt;"None"),'Default Values'!$C$6,IF(X10="Smart card",'Default Values'!V11,'Default Values'!$C$5))))</f>
        <v/>
      </c>
      <c r="Y36" s="21"/>
    </row>
    <row r="37" spans="2:25" ht="14.25">
      <c r="B37" s="9"/>
      <c r="C37" s="31" t="s">
        <v>267</v>
      </c>
      <c r="D37" s="31" t="s">
        <v>266</v>
      </c>
      <c r="E37" s="45" t="str">
        <f>IF(E23="","",IF(E30*3&gt;E23,1.2,1)*(0.5*(E11="Stairs")+1*(E11="Steep stairs")+0.5*(E12="Yes")+IF(AND(E14&gt;E13,E10&lt;&gt;"None"),'Default Values'!$C$6,IF(E10="Smart card",'Default Values'!C11,'Default Values'!$C$5))))</f>
        <v/>
      </c>
      <c r="F37" s="45" t="str">
        <f>IF(F23="","",IF(F30*3&gt;F23,1.2,1)*(0.5*(F11="Stairs")+1*(F11="Steep stairs")+0.5*(F12="Yes")+IF(AND(F14&gt;F13,F10&lt;&gt;"None"),'Default Values'!$C$6,IF(F10="Smart card",'Default Values'!D11,'Default Values'!$C$5))))</f>
        <v/>
      </c>
      <c r="G37" s="45" t="str">
        <f>IF(G23="","",IF(G30*3&gt;G23,1.2,1)*(0.5*(G11="Stairs")+1*(G11="Steep stairs")+0.5*(G12="Yes")+IF(AND(G14&gt;G13,G10&lt;&gt;"None"),'Default Values'!$C$6,IF(G10="Smart card",'Default Values'!E11,'Default Values'!$C$5))))</f>
        <v/>
      </c>
      <c r="H37" s="45" t="str">
        <f>IF(H23="","",IF(H30*3&gt;H23,1.2,1)*(0.5*(H11="Stairs")+1*(H11="Steep stairs")+0.5*(H12="Yes")+IF(AND(H14&gt;H13,H10&lt;&gt;"None"),'Default Values'!$C$6,IF(H10="Smart card",'Default Values'!F11,'Default Values'!$C$5))))</f>
        <v/>
      </c>
      <c r="I37" s="45" t="str">
        <f>IF(I23="","",IF(I30*3&gt;I23,1.2,1)*(0.5*(I11="Stairs")+1*(I11="Steep stairs")+0.5*(I12="Yes")+IF(AND(I14&gt;I13,I10&lt;&gt;"None"),'Default Values'!$C$6,IF(I10="Smart card",'Default Values'!G11,'Default Values'!$C$5))))</f>
        <v/>
      </c>
      <c r="J37" s="45" t="str">
        <f>IF(J23="","",IF(J30*3&gt;J23,1.2,1)*(0.5*(J11="Stairs")+1*(J11="Steep stairs")+0.5*(J12="Yes")+IF(AND(J14&gt;J13,J10&lt;&gt;"None"),'Default Values'!$C$6,IF(J10="Smart card",'Default Values'!H11,'Default Values'!$C$5))))</f>
        <v/>
      </c>
      <c r="K37" s="45" t="str">
        <f>IF(K23="","",IF(K30*3&gt;K23,1.2,1)*(0.5*(K11="Stairs")+1*(K11="Steep stairs")+0.5*(K12="Yes")+IF(AND(K14&gt;K13,K10&lt;&gt;"None"),'Default Values'!$C$6,IF(K10="Smart card",'Default Values'!I11,'Default Values'!$C$5))))</f>
        <v/>
      </c>
      <c r="L37" s="45" t="str">
        <f>IF(L23="","",IF(L30*3&gt;L23,1.2,1)*(0.5*(L11="Stairs")+1*(L11="Steep stairs")+0.5*(L12="Yes")+IF(AND(L14&gt;L13,L10&lt;&gt;"None"),'Default Values'!$C$6,IF(L10="Smart card",'Default Values'!J11,'Default Values'!$C$5))))</f>
        <v/>
      </c>
      <c r="M37" s="45" t="str">
        <f>IF(M23="","",IF(M30*3&gt;M23,1.2,1)*(0.5*(M11="Stairs")+1*(M11="Steep stairs")+0.5*(M12="Yes")+IF(AND(M14&gt;M13,M10&lt;&gt;"None"),'Default Values'!$C$6,IF(M10="Smart card",'Default Values'!K11,'Default Values'!$C$5))))</f>
        <v/>
      </c>
      <c r="N37" s="45" t="str">
        <f>IF(N23="","",IF(N30*3&gt;N23,1.2,1)*(0.5*(N11="Stairs")+1*(N11="Steep stairs")+0.5*(N12="Yes")+IF(AND(N14&gt;N13,N10&lt;&gt;"None"),'Default Values'!$C$6,IF(N10="Smart card",'Default Values'!L11,'Default Values'!$C$5))))</f>
        <v/>
      </c>
      <c r="O37" s="45" t="str">
        <f>IF(O23="","",IF(O30*3&gt;O23,1.2,1)*(0.5*(O11="Stairs")+1*(O11="Steep stairs")+0.5*(O12="Yes")+IF(AND(O14&gt;O13,O10&lt;&gt;"None"),'Default Values'!$C$6,IF(O10="Smart card",'Default Values'!M11,'Default Values'!$C$5))))</f>
        <v/>
      </c>
      <c r="P37" s="45" t="str">
        <f>IF(P23="","",IF(P30*3&gt;P23,1.2,1)*(0.5*(P11="Stairs")+1*(P11="Steep stairs")+0.5*(P12="Yes")+IF(AND(P14&gt;P13,P10&lt;&gt;"None"),'Default Values'!$C$6,IF(P10="Smart card",'Default Values'!N11,'Default Values'!$C$5))))</f>
        <v/>
      </c>
      <c r="Q37" s="45" t="str">
        <f>IF(Q23="","",IF(Q30*3&gt;Q23,1.2,1)*(0.5*(Q11="Stairs")+1*(Q11="Steep stairs")+0.5*(Q12="Yes")+IF(AND(Q14&gt;Q13,Q10&lt;&gt;"None"),'Default Values'!$C$6,IF(Q10="Smart card",'Default Values'!O11,'Default Values'!$C$5))))</f>
        <v/>
      </c>
      <c r="R37" s="45" t="str">
        <f>IF(R23="","",IF(R30*3&gt;R23,1.2,1)*(0.5*(R11="Stairs")+1*(R11="Steep stairs")+0.5*(R12="Yes")+IF(AND(R14&gt;R13,R10&lt;&gt;"None"),'Default Values'!$C$6,IF(R10="Smart card",'Default Values'!P11,'Default Values'!$C$5))))</f>
        <v/>
      </c>
      <c r="S37" s="45" t="str">
        <f>IF(S23="","",IF(S30*3&gt;S23,1.2,1)*(0.5*(S11="Stairs")+1*(S11="Steep stairs")+0.5*(S12="Yes")+IF(AND(S14&gt;S13,S10&lt;&gt;"None"),'Default Values'!$C$6,IF(S10="Smart card",'Default Values'!Q11,'Default Values'!$C$5))))</f>
        <v/>
      </c>
      <c r="T37" s="45" t="str">
        <f>IF(T23="","",IF(T30*3&gt;T23,1.2,1)*(0.5*(T11="Stairs")+1*(T11="Steep stairs")+0.5*(T12="Yes")+IF(AND(T14&gt;T13,T10&lt;&gt;"None"),'Default Values'!$C$6,IF(T10="Smart card",'Default Values'!R11,'Default Values'!$C$5))))</f>
        <v/>
      </c>
      <c r="U37" s="45" t="str">
        <f>IF(U23="","",IF(U30*3&gt;U23,1.2,1)*(0.5*(U11="Stairs")+1*(U11="Steep stairs")+0.5*(U12="Yes")+IF(AND(U14&gt;U13,U10&lt;&gt;"None"),'Default Values'!$C$6,IF(U10="Smart card",'Default Values'!S11,'Default Values'!$C$5))))</f>
        <v/>
      </c>
      <c r="V37" s="45" t="str">
        <f>IF(V23="","",IF(V30*3&gt;V23,1.2,1)*(0.5*(V11="Stairs")+1*(V11="Steep stairs")+0.5*(V12="Yes")+IF(AND(V14&gt;V13,V10&lt;&gt;"None"),'Default Values'!$C$6,IF(V10="Smart card",'Default Values'!T11,'Default Values'!$C$5))))</f>
        <v/>
      </c>
      <c r="W37" s="45" t="str">
        <f>IF(W23="","",IF(W30*3&gt;W23,1.2,1)*(0.5*(W11="Stairs")+1*(W11="Steep stairs")+0.5*(W12="Yes")+IF(AND(W14&gt;W13,W10&lt;&gt;"None"),'Default Values'!$C$6,IF(W10="Smart card",'Default Values'!U11,'Default Values'!$C$5))))</f>
        <v/>
      </c>
      <c r="X37" s="45" t="str">
        <f>IF(X23="","",IF(X30*3&gt;X23,1.2,1)*(0.5*(X11="Stairs")+1*(X11="Steep stairs")+0.5*(X12="Yes")+IF(AND(X14&gt;X13,X10&lt;&gt;"None"),'Default Values'!$C$6,IF(X10="Smart card",'Default Values'!V11,'Default Values'!$C$5))))</f>
        <v/>
      </c>
      <c r="Y37" s="21"/>
    </row>
    <row r="38" spans="2:25">
      <c r="B38" s="9"/>
      <c r="C38" s="31"/>
      <c r="D38" s="31"/>
      <c r="E38" s="36"/>
      <c r="F38" s="36"/>
      <c r="G38" s="36"/>
      <c r="H38" s="36"/>
      <c r="I38" s="45"/>
      <c r="J38" s="45"/>
      <c r="K38" s="45"/>
      <c r="L38" s="45"/>
      <c r="M38" s="45"/>
      <c r="N38" s="45"/>
      <c r="O38" s="45"/>
      <c r="P38" s="45"/>
      <c r="Q38" s="45"/>
      <c r="R38" s="45"/>
      <c r="S38" s="45"/>
      <c r="T38" s="45"/>
      <c r="U38" s="45"/>
      <c r="V38" s="45"/>
      <c r="W38" s="45"/>
      <c r="X38" s="45"/>
      <c r="Y38" s="21"/>
    </row>
    <row r="39" spans="2:25" ht="14.25">
      <c r="B39" s="9"/>
      <c r="C39" s="31" t="s">
        <v>74</v>
      </c>
      <c r="D39" s="31" t="s">
        <v>235</v>
      </c>
      <c r="E39" s="45">
        <f>IF(E9="","",IF(E27*3&gt;E20,1.2,1)*(0.5*(E11="Stairs")+1*(E11="Steep stairs")+0.5*(E12="Yes")+IF(E10="Smart card",'Default Values'!$C$16,'Default Values'!$C$14)))</f>
        <v>2.5</v>
      </c>
      <c r="F39" s="45">
        <f>IF(F9="","",IF(F27*3&gt;F20,1.2,1)*(0.5*(F11="Stairs")+1*(F11="Steep stairs")+0.5*(F12="Yes")+IF(F10="Smart card",'Default Values'!$C$16,'Default Values'!$C$14)))</f>
        <v>2.5</v>
      </c>
      <c r="G39" s="45">
        <f>IF(G9="","",IF(G27*3&gt;G20,1.2,1)*(0.5*(G11="Stairs")+1*(G11="Steep stairs")+0.5*(G12="Yes")+IF(G10="Smart card",'Default Values'!$C$16,'Default Values'!$C$14)))</f>
        <v>2.5</v>
      </c>
      <c r="H39" s="45">
        <f>IF(H9="","",IF(H27*3&gt;H20,1.2,1)*(0.5*(H11="Stairs")+1*(H11="Steep stairs")+0.5*(H12="Yes")+IF(H10="Smart card",'Default Values'!$C$16,'Default Values'!$C$14)))</f>
        <v>2.5</v>
      </c>
      <c r="I39" s="45">
        <f>IF(I9="","",IF(I27*3&gt;I20,1.2,1)*(0.5*(I11="Stairs")+1*(I11="Steep stairs")+0.5*(I12="Yes")+IF(I10="Smart card",'Default Values'!$C$16,'Default Values'!$C$14)))</f>
        <v>2.5</v>
      </c>
      <c r="J39" s="45">
        <f>IF(J9="","",IF(J27*3&gt;J20,1.2,1)*(0.5*(J11="Stairs")+1*(J11="Steep stairs")+0.5*(J12="Yes")+IF(J10="Smart card",'Default Values'!$C$16,'Default Values'!$C$14)))</f>
        <v>2.5</v>
      </c>
      <c r="K39" s="45">
        <f>IF(K9="","",IF(K27*3&gt;K20,1.2,1)*(0.5*(K11="Stairs")+1*(K11="Steep stairs")+0.5*(K12="Yes")+IF(K10="Smart card",'Default Values'!$C$16,'Default Values'!$C$14)))</f>
        <v>2.5</v>
      </c>
      <c r="L39" s="45">
        <f>IF(L9="","",IF(L27*3&gt;L20,1.2,1)*(0.5*(L11="Stairs")+1*(L11="Steep stairs")+0.5*(L12="Yes")+IF(L10="Smart card",'Default Values'!$C$16,'Default Values'!$C$14)))</f>
        <v>2.5</v>
      </c>
      <c r="M39" s="45" t="str">
        <f>IF(M9="","",IF(M27*3&gt;M20,1.2,1)*(0.5*(M11="Stairs")+1*(M11="Steep stairs")+0.5*(M12="Yes")+IF(M10="Smart card",'Default Values'!$C$16,'Default Values'!$C$14)))</f>
        <v/>
      </c>
      <c r="N39" s="45" t="str">
        <f>IF(N9="","",IF(N27*3&gt;N20,1.2,1)*(0.5*(N11="Stairs")+1*(N11="Steep stairs")+0.5*(N12="Yes")+IF(N10="Smart card",'Default Values'!$C$16,'Default Values'!$C$14)))</f>
        <v/>
      </c>
      <c r="O39" s="45" t="str">
        <f>IF(O9="","",IF(O27*3&gt;O20,1.2,1)*(0.5*(O11="Stairs")+1*(O11="Steep stairs")+0.5*(O12="Yes")+IF(O10="Smart card",'Default Values'!$C$16,'Default Values'!$C$14)))</f>
        <v/>
      </c>
      <c r="P39" s="45" t="str">
        <f>IF(P9="","",IF(P27*3&gt;P20,1.2,1)*(0.5*(P11="Stairs")+1*(P11="Steep stairs")+0.5*(P12="Yes")+IF(P10="Smart card",'Default Values'!$C$16,'Default Values'!$C$14)))</f>
        <v/>
      </c>
      <c r="Q39" s="45" t="str">
        <f>IF(Q9="","",IF(Q27*3&gt;Q20,1.2,1)*(0.5*(Q11="Stairs")+1*(Q11="Steep stairs")+0.5*(Q12="Yes")+IF(Q10="Smart card",'Default Values'!$C$16,'Default Values'!$C$14)))</f>
        <v/>
      </c>
      <c r="R39" s="45" t="str">
        <f>IF(R9="","",IF(R27*3&gt;R20,1.2,1)*(0.5*(R11="Stairs")+1*(R11="Steep stairs")+0.5*(R12="Yes")+IF(R10="Smart card",'Default Values'!$C$16,'Default Values'!$C$14)))</f>
        <v/>
      </c>
      <c r="S39" s="45" t="str">
        <f>IF(S9="","",IF(S27*3&gt;S20,1.2,1)*(0.5*(S11="Stairs")+1*(S11="Steep stairs")+0.5*(S12="Yes")+IF(S10="Smart card",'Default Values'!$C$16,'Default Values'!$C$14)))</f>
        <v/>
      </c>
      <c r="T39" s="45" t="str">
        <f>IF(T9="","",IF(T27*3&gt;T20,1.2,1)*(0.5*(T11="Stairs")+1*(T11="Steep stairs")+0.5*(T12="Yes")+IF(T10="Smart card",'Default Values'!$C$16,'Default Values'!$C$14)))</f>
        <v/>
      </c>
      <c r="U39" s="45" t="str">
        <f>IF(U9="","",IF(U27*3&gt;U20,1.2,1)*(0.5*(U11="Stairs")+1*(U11="Steep stairs")+0.5*(U12="Yes")+IF(U10="Smart card",'Default Values'!$C$16,'Default Values'!$C$14)))</f>
        <v/>
      </c>
      <c r="V39" s="45" t="str">
        <f>IF(V9="","",IF(V27*3&gt;V20,1.2,1)*(0.5*(V11="Stairs")+1*(V11="Steep stairs")+0.5*(V12="Yes")+IF(V10="Smart card",'Default Values'!$C$16,'Default Values'!$C$14)))</f>
        <v/>
      </c>
      <c r="W39" s="45" t="str">
        <f>IF(W9="","",IF(W27*3&gt;W20,1.2,1)*(0.5*(W11="Stairs")+1*(W11="Steep stairs")+0.5*(W12="Yes")+IF(W10="Smart card",'Default Values'!$C$16,'Default Values'!$C$14)))</f>
        <v/>
      </c>
      <c r="X39" s="45" t="str">
        <f>IF(X9="","",IF(X27*3&gt;X20,1.2,1)*(0.5*(X11="Stairs")+1*(X11="Steep stairs")+0.5*(X12="Yes")+IF(X10="Smart card",'Default Values'!$C$16,'Default Values'!$C$14)))</f>
        <v/>
      </c>
      <c r="Y39" s="21"/>
    </row>
    <row r="40" spans="2:25" ht="14.25">
      <c r="B40" s="9"/>
      <c r="C40" s="31" t="s">
        <v>75</v>
      </c>
      <c r="D40" s="31" t="s">
        <v>236</v>
      </c>
      <c r="E40" s="45">
        <f>IF(OR(E9="",E14=1),"",IF(E28*3&gt;E21,1.2,1)*(0.5*(E11="Stairs")+1*(E11="Steep stairs")+0.5*(E12="Yes")+IF(E10="Smart card",'Default Values'!$C$16,IF(E13=E14,'Default Values'!$C$15,'Default Values'!$C$14))))</f>
        <v>3</v>
      </c>
      <c r="F40" s="45">
        <f>IF(OR(F9="",F14=1),"",IF(F28*3&gt;F21,1.2,1)*(0.5*(F11="Stairs")+1*(F11="Steep stairs")+0.5*(F12="Yes")+IF(F10="Smart card",'Default Values'!$C$16,IF(F13=F14,'Default Values'!$C$15,'Default Values'!$C$14))))</f>
        <v>2.5</v>
      </c>
      <c r="G40" s="45">
        <f>IF(OR(G9="",G14=1),"",IF(G28*3&gt;G21,1.2,1)*(0.5*(G11="Stairs")+1*(G11="Steep stairs")+0.5*(G12="Yes")+IF(G10="Smart card",'Default Values'!$C$16,IF(G13=G14,'Default Values'!$C$15,'Default Values'!$C$14))))</f>
        <v>2.5</v>
      </c>
      <c r="H40" s="45">
        <f>IF(OR(H9="",H14=1),"",IF(H28*3&gt;H21,1.2,1)*(0.5*(H11="Stairs")+1*(H11="Steep stairs")+0.5*(H12="Yes")+IF(H10="Smart card",'Default Values'!$C$16,IF(H13=H14,'Default Values'!$C$15,'Default Values'!$C$14))))</f>
        <v>3</v>
      </c>
      <c r="I40" s="45">
        <f>IF(OR(I9="",I14=1),"",IF(I28*3&gt;I21,1.2,1)*(0.5*(I11="Stairs")+1*(I11="Steep stairs")+0.5*(I12="Yes")+IF(I10="Smart card",'Default Values'!$C$16,IF(I13=I14,'Default Values'!$C$15,'Default Values'!$C$14))))</f>
        <v>2.5</v>
      </c>
      <c r="J40" s="45">
        <f>IF(OR(J9="",J14=1),"",IF(J28*3&gt;J21,1.2,1)*(0.5*(J11="Stairs")+1*(J11="Steep stairs")+0.5*(J12="Yes")+IF(J10="Smart card",'Default Values'!$C$16,IF(J13=J14,'Default Values'!$C$15,'Default Values'!$C$14))))</f>
        <v>2.5</v>
      </c>
      <c r="K40" s="45">
        <f>IF(OR(K9="",K14=1),"",IF(K28*3&gt;K21,1.2,1)*(0.5*(K11="Stairs")+1*(K11="Steep stairs")+0.5*(K12="Yes")+IF(K10="Smart card",'Default Values'!$C$16,IF(K13=K14,'Default Values'!$C$15,'Default Values'!$C$14))))</f>
        <v>2.5</v>
      </c>
      <c r="L40" s="45">
        <f>IF(OR(L9="",L14=1),"",IF(L28*3&gt;L21,1.2,1)*(0.5*(L11="Stairs")+1*(L11="Steep stairs")+0.5*(L12="Yes")+IF(L10="Smart card",'Default Values'!$C$16,IF(L13=L14,'Default Values'!$C$15,'Default Values'!$C$14))))</f>
        <v>2.5</v>
      </c>
      <c r="M40" s="45" t="str">
        <f>IF(OR(M9="",M14=1),"",IF(M28*3&gt;M21,1.2,1)*(0.5*(M11="Stairs")+1*(M11="Steep stairs")+0.5*(M12="Yes")+IF(M10="Smart card",'Default Values'!$C$16,IF(M13=M14,'Default Values'!$C$15,'Default Values'!$C$14))))</f>
        <v/>
      </c>
      <c r="N40" s="45" t="str">
        <f>IF(OR(N9="",N14=1),"",IF(N28*3&gt;N21,1.2,1)*(0.5*(N11="Stairs")+1*(N11="Steep stairs")+0.5*(N12="Yes")+IF(N10="Smart card",'Default Values'!$C$16,IF(N13=N14,'Default Values'!$C$15,'Default Values'!$C$14))))</f>
        <v/>
      </c>
      <c r="O40" s="45" t="str">
        <f>IF(OR(O9="",O14=1),"",IF(O28*3&gt;O21,1.2,1)*(0.5*(O11="Stairs")+1*(O11="Steep stairs")+0.5*(O12="Yes")+IF(O10="Smart card",'Default Values'!$C$16,IF(O13=O14,'Default Values'!$C$15,'Default Values'!$C$14))))</f>
        <v/>
      </c>
      <c r="P40" s="45" t="str">
        <f>IF(OR(P9="",P14=1),"",IF(P28*3&gt;P21,1.2,1)*(0.5*(P11="Stairs")+1*(P11="Steep stairs")+0.5*(P12="Yes")+IF(P10="Smart card",'Default Values'!$C$16,IF(P13=P14,'Default Values'!$C$15,'Default Values'!$C$14))))</f>
        <v/>
      </c>
      <c r="Q40" s="45" t="str">
        <f>IF(OR(Q9="",Q14=1),"",IF(Q28*3&gt;Q21,1.2,1)*(0.5*(Q11="Stairs")+1*(Q11="Steep stairs")+0.5*(Q12="Yes")+IF(Q10="Smart card",'Default Values'!$C$16,IF(Q13=Q14,'Default Values'!$C$15,'Default Values'!$C$14))))</f>
        <v/>
      </c>
      <c r="R40" s="45" t="str">
        <f>IF(OR(R9="",R14=1),"",IF(R28*3&gt;R21,1.2,1)*(0.5*(R11="Stairs")+1*(R11="Steep stairs")+0.5*(R12="Yes")+IF(R10="Smart card",'Default Values'!$C$16,IF(R13=R14,'Default Values'!$C$15,'Default Values'!$C$14))))</f>
        <v/>
      </c>
      <c r="S40" s="45" t="str">
        <f>IF(OR(S9="",S14=1),"",IF(S28*3&gt;S21,1.2,1)*(0.5*(S11="Stairs")+1*(S11="Steep stairs")+0.5*(S12="Yes")+IF(S10="Smart card",'Default Values'!$C$16,IF(S13=S14,'Default Values'!$C$15,'Default Values'!$C$14))))</f>
        <v/>
      </c>
      <c r="T40" s="45" t="str">
        <f>IF(OR(T9="",T14=1),"",IF(T28*3&gt;T21,1.2,1)*(0.5*(T11="Stairs")+1*(T11="Steep stairs")+0.5*(T12="Yes")+IF(T10="Smart card",'Default Values'!$C$16,IF(T13=T14,'Default Values'!$C$15,'Default Values'!$C$14))))</f>
        <v/>
      </c>
      <c r="U40" s="45" t="str">
        <f>IF(OR(U9="",U14=1),"",IF(U28*3&gt;U21,1.2,1)*(0.5*(U11="Stairs")+1*(U11="Steep stairs")+0.5*(U12="Yes")+IF(U10="Smart card",'Default Values'!$C$16,IF(U13=U14,'Default Values'!$C$15,'Default Values'!$C$14))))</f>
        <v/>
      </c>
      <c r="V40" s="45" t="str">
        <f>IF(OR(V9="",V14=1),"",IF(V28*3&gt;V21,1.2,1)*(0.5*(V11="Stairs")+1*(V11="Steep stairs")+0.5*(V12="Yes")+IF(V10="Smart card",'Default Values'!$C$16,IF(V13=V14,'Default Values'!$C$15,'Default Values'!$C$14))))</f>
        <v/>
      </c>
      <c r="W40" s="45" t="str">
        <f>IF(OR(W9="",W14=1),"",IF(W28*3&gt;W21,1.2,1)*(0.5*(W11="Stairs")+1*(W11="Steep stairs")+0.5*(W12="Yes")+IF(W10="Smart card",'Default Values'!$C$16,IF(W13=W14,'Default Values'!$C$15,'Default Values'!$C$14))))</f>
        <v/>
      </c>
      <c r="X40" s="45" t="str">
        <f>IF(OR(X9="",X14=1),"",IF(X28*3&gt;X21,1.2,1)*(0.5*(X11="Stairs")+1*(X11="Steep stairs")+0.5*(X12="Yes")+IF(X10="Smart card",'Default Values'!$C$16,IF(X13=X14,'Default Values'!$C$15,'Default Values'!$C$14))))</f>
        <v/>
      </c>
      <c r="Y40" s="21"/>
    </row>
    <row r="41" spans="2:25" ht="14.25">
      <c r="B41" s="9"/>
      <c r="C41" s="31" t="s">
        <v>269</v>
      </c>
      <c r="D41" s="31" t="s">
        <v>270</v>
      </c>
      <c r="E41" s="45">
        <f>IF(OR(E9="",E14&lt;3),"",IF(E29*3&gt;E22,1.2,1)*(0.5*(E11="Stairs")+1*(E11="Steep stairs")+0.5*(E12="Yes")+IF(E10="Smart card",'Default Values'!$C$16,'Default Values'!$C$15)))</f>
        <v>1.75</v>
      </c>
      <c r="F41" s="45">
        <f>IF(OR(F9="",F14&lt;3),"",IF(F29*3&gt;F22,1.2,1)*(0.5*(F11="Stairs")+1*(F11="Steep stairs")+0.5*(F12="Yes")+IF(F10="Smart card",'Default Values'!$C$16,'Default Values'!$C$15)))</f>
        <v>1.75</v>
      </c>
      <c r="G41" s="45">
        <f>IF(OR(G9="",G14&lt;3),"",IF(G29*3&gt;G22,1.2,1)*(0.5*(G11="Stairs")+1*(G11="Steep stairs")+0.5*(G12="Yes")+IF(G10="Smart card",'Default Values'!$C$16,'Default Values'!$C$15)))</f>
        <v>1.75</v>
      </c>
      <c r="H41" s="45">
        <f>IF(OR(H9="",H14&lt;3),"",IF(H29*3&gt;H22,1.2,1)*(0.5*(H11="Stairs")+1*(H11="Steep stairs")+0.5*(H12="Yes")+IF(H10="Smart card",'Default Values'!$C$16,'Default Values'!$C$15)))</f>
        <v>1.75</v>
      </c>
      <c r="I41" s="45">
        <f>IF(OR(I9="",I14&lt;3),"",IF(I29*3&gt;I22,1.2,1)*(0.5*(I11="Stairs")+1*(I11="Steep stairs")+0.5*(I12="Yes")+IF(I10="Smart card",'Default Values'!$C$16,'Default Values'!$C$15)))</f>
        <v>1.75</v>
      </c>
      <c r="J41" s="45">
        <f>IF(OR(J9="",J14&lt;3),"",IF(J29*3&gt;J22,1.2,1)*(0.5*(J11="Stairs")+1*(J11="Steep stairs")+0.5*(J12="Yes")+IF(J10="Smart card",'Default Values'!$C$16,'Default Values'!$C$15)))</f>
        <v>1.75</v>
      </c>
      <c r="K41" s="45">
        <f>IF(OR(K9="",K14&lt;3),"",IF(K29*3&gt;K22,1.2,1)*(0.5*(K11="Stairs")+1*(K11="Steep stairs")+0.5*(K12="Yes")+IF(K10="Smart card",'Default Values'!$C$16,'Default Values'!$C$15)))</f>
        <v>1.75</v>
      </c>
      <c r="L41" s="45">
        <f>IF(OR(L9="",L14&lt;3),"",IF(L29*3&gt;L22,1.2,1)*(0.5*(L11="Stairs")+1*(L11="Steep stairs")+0.5*(L12="Yes")+IF(L10="Smart card",'Default Values'!$C$16,'Default Values'!$C$15)))</f>
        <v>1.75</v>
      </c>
      <c r="M41" s="45" t="str">
        <f>IF(OR(M9="",M14&lt;3),"",IF(M29*3&gt;M22,1.2,1)*(0.5*(M11="Stairs")+1*(M11="Steep stairs")+0.5*(M12="Yes")+IF(M10="Smart card",'Default Values'!$C$16,'Default Values'!$C$15)))</f>
        <v/>
      </c>
      <c r="N41" s="45" t="str">
        <f>IF(OR(N9="",N14&lt;3),"",IF(N29*3&gt;N22,1.2,1)*(0.5*(N11="Stairs")+1*(N11="Steep stairs")+0.5*(N12="Yes")+IF(N10="Smart card",'Default Values'!$C$16,'Default Values'!$C$15)))</f>
        <v/>
      </c>
      <c r="O41" s="45" t="str">
        <f>IF(OR(O9="",O14&lt;3),"",IF(O29*3&gt;O22,1.2,1)*(0.5*(O11="Stairs")+1*(O11="Steep stairs")+0.5*(O12="Yes")+IF(O10="Smart card",'Default Values'!$C$16,'Default Values'!$C$15)))</f>
        <v/>
      </c>
      <c r="P41" s="45" t="str">
        <f>IF(OR(P9="",P14&lt;3),"",IF(P29*3&gt;P22,1.2,1)*(0.5*(P11="Stairs")+1*(P11="Steep stairs")+0.5*(P12="Yes")+IF(P10="Smart card",'Default Values'!$C$16,'Default Values'!$C$15)))</f>
        <v/>
      </c>
      <c r="Q41" s="45" t="str">
        <f>IF(OR(Q9="",Q14&lt;3),"",IF(Q29*3&gt;Q22,1.2,1)*(0.5*(Q11="Stairs")+1*(Q11="Steep stairs")+0.5*(Q12="Yes")+IF(Q10="Smart card",'Default Values'!$C$16,'Default Values'!$C$15)))</f>
        <v/>
      </c>
      <c r="R41" s="45" t="str">
        <f>IF(OR(R9="",R14&lt;3),"",IF(R29*3&gt;R22,1.2,1)*(0.5*(R11="Stairs")+1*(R11="Steep stairs")+0.5*(R12="Yes")+IF(R10="Smart card",'Default Values'!$C$16,'Default Values'!$C$15)))</f>
        <v/>
      </c>
      <c r="S41" s="45" t="str">
        <f>IF(OR(S9="",S14&lt;3),"",IF(S29*3&gt;S22,1.2,1)*(0.5*(S11="Stairs")+1*(S11="Steep stairs")+0.5*(S12="Yes")+IF(S10="Smart card",'Default Values'!$C$16,'Default Values'!$C$15)))</f>
        <v/>
      </c>
      <c r="T41" s="45" t="str">
        <f>IF(OR(T9="",T14&lt;3),"",IF(T29*3&gt;T22,1.2,1)*(0.5*(T11="Stairs")+1*(T11="Steep stairs")+0.5*(T12="Yes")+IF(T10="Smart card",'Default Values'!$C$16,'Default Values'!$C$15)))</f>
        <v/>
      </c>
      <c r="U41" s="45" t="str">
        <f>IF(OR(U9="",U14&lt;3),"",IF(U29*3&gt;U22,1.2,1)*(0.5*(U11="Stairs")+1*(U11="Steep stairs")+0.5*(U12="Yes")+IF(U10="Smart card",'Default Values'!$C$16,'Default Values'!$C$15)))</f>
        <v/>
      </c>
      <c r="V41" s="45" t="str">
        <f>IF(OR(V9="",V14&lt;3),"",IF(V29*3&gt;V22,1.2,1)*(0.5*(V11="Stairs")+1*(V11="Steep stairs")+0.5*(V12="Yes")+IF(V10="Smart card",'Default Values'!$C$16,'Default Values'!$C$15)))</f>
        <v/>
      </c>
      <c r="W41" s="45" t="str">
        <f>IF(OR(W9="",W14&lt;3),"",IF(W29*3&gt;W22,1.2,1)*(0.5*(W11="Stairs")+1*(W11="Steep stairs")+0.5*(W12="Yes")+IF(W10="Smart card",'Default Values'!$C$16,'Default Values'!$C$15)))</f>
        <v/>
      </c>
      <c r="X41" s="45" t="str">
        <f>IF(OR(X9="",X14&lt;3),"",IF(X29*3&gt;X22,1.2,1)*(0.5*(X11="Stairs")+1*(X11="Steep stairs")+0.5*(X12="Yes")+IF(X10="Smart card",'Default Values'!$C$16,'Default Values'!$C$15)))</f>
        <v/>
      </c>
      <c r="Y41" s="21"/>
    </row>
    <row r="42" spans="2:25" ht="14.25">
      <c r="B42" s="9"/>
      <c r="C42" s="31" t="s">
        <v>271</v>
      </c>
      <c r="D42" s="31" t="s">
        <v>272</v>
      </c>
      <c r="E42" s="45" t="str">
        <f>IF(OR(E9="",E14&lt;4),"",IF(E30*3&gt;E23,1.2,1)*(0.5*(E11="Stairs")+1*(E11="Steep stairs")+0.5*(E12="Yes")+IF(E10="Smart card",'Default Values'!$C$16,'Default Values'!$C$15)))</f>
        <v/>
      </c>
      <c r="F42" s="45" t="str">
        <f>IF(OR(F9="",F14&lt;4),"",IF(F30*3&gt;F23,1.2,1)*(0.5*(F11="Stairs")+1*(F11="Steep stairs")+0.5*(F12="Yes")+IF(F10="Smart card",'Default Values'!$C$16,'Default Values'!$C$15)))</f>
        <v/>
      </c>
      <c r="G42" s="45" t="str">
        <f>IF(OR(G9="",G14&lt;4),"",IF(G30*3&gt;G23,1.2,1)*(0.5*(G11="Stairs")+1*(G11="Steep stairs")+0.5*(G12="Yes")+IF(G10="Smart card",'Default Values'!$C$16,'Default Values'!$C$15)))</f>
        <v/>
      </c>
      <c r="H42" s="45" t="str">
        <f>IF(OR(H9="",H14&lt;4),"",IF(H30*3&gt;H23,1.2,1)*(0.5*(H11="Stairs")+1*(H11="Steep stairs")+0.5*(H12="Yes")+IF(H10="Smart card",'Default Values'!$C$16,'Default Values'!$C$15)))</f>
        <v/>
      </c>
      <c r="I42" s="45" t="str">
        <f>IF(OR(I9="",I14&lt;4),"",IF(I30*3&gt;I23,1.2,1)*(0.5*(I11="Stairs")+1*(I11="Steep stairs")+0.5*(I12="Yes")+IF(I10="Smart card",'Default Values'!$C$16,'Default Values'!$C$15)))</f>
        <v/>
      </c>
      <c r="J42" s="45" t="str">
        <f>IF(OR(J9="",J14&lt;4),"",IF(J30*3&gt;J23,1.2,1)*(0.5*(J11="Stairs")+1*(J11="Steep stairs")+0.5*(J12="Yes")+IF(J10="Smart card",'Default Values'!$C$16,'Default Values'!$C$15)))</f>
        <v/>
      </c>
      <c r="K42" s="45" t="str">
        <f>IF(OR(K9="",K14&lt;4),"",IF(K30*3&gt;K23,1.2,1)*(0.5*(K11="Stairs")+1*(K11="Steep stairs")+0.5*(K12="Yes")+IF(K10="Smart card",'Default Values'!$C$16,'Default Values'!$C$15)))</f>
        <v/>
      </c>
      <c r="L42" s="45" t="str">
        <f>IF(OR(L9="",L14&lt;4),"",IF(L30*3&gt;L23,1.2,1)*(0.5*(L11="Stairs")+1*(L11="Steep stairs")+0.5*(L12="Yes")+IF(L10="Smart card",'Default Values'!$C$16,'Default Values'!$C$15)))</f>
        <v/>
      </c>
      <c r="M42" s="45" t="str">
        <f>IF(OR(M9="",M14&lt;4),"",IF(M30*3&gt;M23,1.2,1)*(0.5*(M11="Stairs")+1*(M11="Steep stairs")+0.5*(M12="Yes")+IF(M10="Smart card",'Default Values'!$C$16,'Default Values'!$C$15)))</f>
        <v/>
      </c>
      <c r="N42" s="45" t="str">
        <f>IF(OR(N9="",N14&lt;4),"",IF(N30*3&gt;N23,1.2,1)*(0.5*(N11="Stairs")+1*(N11="Steep stairs")+0.5*(N12="Yes")+IF(N10="Smart card",'Default Values'!$C$16,'Default Values'!$C$15)))</f>
        <v/>
      </c>
      <c r="O42" s="45" t="str">
        <f>IF(OR(O9="",O14&lt;4),"",IF(O30*3&gt;O23,1.2,1)*(0.5*(O11="Stairs")+1*(O11="Steep stairs")+0.5*(O12="Yes")+IF(O10="Smart card",'Default Values'!$C$16,'Default Values'!$C$15)))</f>
        <v/>
      </c>
      <c r="P42" s="45" t="str">
        <f>IF(OR(P9="",P14&lt;4),"",IF(P30*3&gt;P23,1.2,1)*(0.5*(P11="Stairs")+1*(P11="Steep stairs")+0.5*(P12="Yes")+IF(P10="Smart card",'Default Values'!$C$16,'Default Values'!$C$15)))</f>
        <v/>
      </c>
      <c r="Q42" s="45" t="str">
        <f>IF(OR(Q9="",Q14&lt;4),"",IF(Q30*3&gt;Q23,1.2,1)*(0.5*(Q11="Stairs")+1*(Q11="Steep stairs")+0.5*(Q12="Yes")+IF(Q10="Smart card",'Default Values'!$C$16,'Default Values'!$C$15)))</f>
        <v/>
      </c>
      <c r="R42" s="45" t="str">
        <f>IF(OR(R9="",R14&lt;4),"",IF(R30*3&gt;R23,1.2,1)*(0.5*(R11="Stairs")+1*(R11="Steep stairs")+0.5*(R12="Yes")+IF(R10="Smart card",'Default Values'!$C$16,'Default Values'!$C$15)))</f>
        <v/>
      </c>
      <c r="S42" s="45" t="str">
        <f>IF(OR(S9="",S14&lt;4),"",IF(S30*3&gt;S23,1.2,1)*(0.5*(S11="Stairs")+1*(S11="Steep stairs")+0.5*(S12="Yes")+IF(S10="Smart card",'Default Values'!$C$16,'Default Values'!$C$15)))</f>
        <v/>
      </c>
      <c r="T42" s="45" t="str">
        <f>IF(OR(T9="",T14&lt;4),"",IF(T30*3&gt;T23,1.2,1)*(0.5*(T11="Stairs")+1*(T11="Steep stairs")+0.5*(T12="Yes")+IF(T10="Smart card",'Default Values'!$C$16,'Default Values'!$C$15)))</f>
        <v/>
      </c>
      <c r="U42" s="45" t="str">
        <f>IF(OR(U9="",U14&lt;4),"",IF(U30*3&gt;U23,1.2,1)*(0.5*(U11="Stairs")+1*(U11="Steep stairs")+0.5*(U12="Yes")+IF(U10="Smart card",'Default Values'!$C$16,'Default Values'!$C$15)))</f>
        <v/>
      </c>
      <c r="V42" s="45" t="str">
        <f>IF(OR(V9="",V14&lt;4),"",IF(V30*3&gt;V23,1.2,1)*(0.5*(V11="Stairs")+1*(V11="Steep stairs")+0.5*(V12="Yes")+IF(V10="Smart card",'Default Values'!$C$16,'Default Values'!$C$15)))</f>
        <v/>
      </c>
      <c r="W42" s="45" t="str">
        <f>IF(OR(W9="",W14&lt;4),"",IF(W30*3&gt;W23,1.2,1)*(0.5*(W11="Stairs")+1*(W11="Steep stairs")+0.5*(W12="Yes")+IF(W10="Smart card",'Default Values'!$C$16,'Default Values'!$C$15)))</f>
        <v/>
      </c>
      <c r="X42" s="45" t="str">
        <f>IF(OR(X9="",X14&lt;4),"",IF(X30*3&gt;X23,1.2,1)*(0.5*(X11="Stairs")+1*(X11="Steep stairs")+0.5*(X12="Yes")+IF(X10="Smart card",'Default Values'!$C$16,'Default Values'!$C$15)))</f>
        <v/>
      </c>
      <c r="Y42" s="21"/>
    </row>
    <row r="43" spans="2:25">
      <c r="B43" s="9"/>
      <c r="C43" s="31"/>
      <c r="D43" s="31"/>
      <c r="E43" s="36"/>
      <c r="F43" s="36"/>
      <c r="G43" s="36"/>
      <c r="H43" s="36"/>
      <c r="I43" s="36"/>
      <c r="J43" s="36"/>
      <c r="K43" s="36"/>
      <c r="L43" s="36"/>
      <c r="M43" s="36"/>
      <c r="N43" s="36"/>
      <c r="O43" s="36"/>
      <c r="P43" s="36"/>
      <c r="Q43" s="36"/>
      <c r="R43" s="36"/>
      <c r="S43" s="36"/>
      <c r="T43" s="36"/>
      <c r="U43" s="36"/>
      <c r="V43" s="36"/>
      <c r="W43" s="36"/>
      <c r="X43" s="36"/>
      <c r="Y43" s="21"/>
    </row>
    <row r="44" spans="2:25" ht="14.25">
      <c r="B44" s="9"/>
      <c r="C44" s="31" t="s">
        <v>76</v>
      </c>
      <c r="D44" s="31" t="s">
        <v>237</v>
      </c>
      <c r="E44" s="36">
        <f>IF(AND(E20="",E27=""),"",IF(E20="",E27*E39,IF(E27="",E20*E34,(E20*E34)+(E27*E39))))</f>
        <v>6.0750000000000002</v>
      </c>
      <c r="F44" s="36">
        <f t="shared" ref="F44:X44" si="8">IF(AND(F20="",F27=""),"",IF(F20="",F27*F39,IF(F27="",F20*F34,(F20*F34)+(F27*F39))))</f>
        <v>10.125</v>
      </c>
      <c r="G44" s="36">
        <f t="shared" si="8"/>
        <v>20.25</v>
      </c>
      <c r="H44" s="36">
        <f t="shared" si="8"/>
        <v>10.125</v>
      </c>
      <c r="I44" s="36">
        <f t="shared" si="8"/>
        <v>24.3</v>
      </c>
      <c r="J44" s="36">
        <f t="shared" si="8"/>
        <v>16.2</v>
      </c>
      <c r="K44" s="36">
        <f t="shared" si="8"/>
        <v>6.0750000000000002</v>
      </c>
      <c r="L44" s="36">
        <f t="shared" si="8"/>
        <v>12.15</v>
      </c>
      <c r="M44" s="36" t="str">
        <f t="shared" si="8"/>
        <v/>
      </c>
      <c r="N44" s="36" t="str">
        <f t="shared" si="8"/>
        <v/>
      </c>
      <c r="O44" s="36" t="str">
        <f t="shared" si="8"/>
        <v/>
      </c>
      <c r="P44" s="36" t="str">
        <f t="shared" si="8"/>
        <v/>
      </c>
      <c r="Q44" s="36" t="str">
        <f t="shared" si="8"/>
        <v/>
      </c>
      <c r="R44" s="36" t="str">
        <f t="shared" si="8"/>
        <v/>
      </c>
      <c r="S44" s="36" t="str">
        <f t="shared" si="8"/>
        <v/>
      </c>
      <c r="T44" s="36" t="str">
        <f t="shared" si="8"/>
        <v/>
      </c>
      <c r="U44" s="36" t="str">
        <f t="shared" si="8"/>
        <v/>
      </c>
      <c r="V44" s="36" t="str">
        <f t="shared" si="8"/>
        <v/>
      </c>
      <c r="W44" s="36" t="str">
        <f t="shared" si="8"/>
        <v/>
      </c>
      <c r="X44" s="36" t="str">
        <f t="shared" si="8"/>
        <v/>
      </c>
      <c r="Y44" s="21"/>
    </row>
    <row r="45" spans="2:25" ht="14.25">
      <c r="B45" s="9"/>
      <c r="C45" s="31" t="s">
        <v>77</v>
      </c>
      <c r="D45" s="31" t="s">
        <v>238</v>
      </c>
      <c r="E45" s="36">
        <f t="shared" ref="E45:X45" si="9">IF(AND(E21="",E28=""),"",IF(E21="",E28*E40,IF(E28="",E21*E35,(E21*E35)+(E28*E40))))</f>
        <v>6.2099999999999991</v>
      </c>
      <c r="F45" s="36">
        <f t="shared" si="9"/>
        <v>6.75</v>
      </c>
      <c r="G45" s="36">
        <f t="shared" si="9"/>
        <v>15.375</v>
      </c>
      <c r="H45" s="36">
        <f t="shared" si="9"/>
        <v>12.6</v>
      </c>
      <c r="I45" s="36">
        <f t="shared" si="9"/>
        <v>17.574999999999999</v>
      </c>
      <c r="J45" s="36">
        <f t="shared" si="9"/>
        <v>10.675000000000001</v>
      </c>
      <c r="K45" s="36">
        <f t="shared" si="9"/>
        <v>3.3</v>
      </c>
      <c r="L45" s="36">
        <f t="shared" si="9"/>
        <v>6.6</v>
      </c>
      <c r="M45" s="36" t="str">
        <f t="shared" si="9"/>
        <v/>
      </c>
      <c r="N45" s="36" t="str">
        <f t="shared" si="9"/>
        <v/>
      </c>
      <c r="O45" s="36" t="str">
        <f t="shared" si="9"/>
        <v/>
      </c>
      <c r="P45" s="36" t="str">
        <f t="shared" si="9"/>
        <v/>
      </c>
      <c r="Q45" s="36" t="str">
        <f t="shared" si="9"/>
        <v/>
      </c>
      <c r="R45" s="36" t="str">
        <f t="shared" si="9"/>
        <v/>
      </c>
      <c r="S45" s="36" t="str">
        <f t="shared" si="9"/>
        <v/>
      </c>
      <c r="T45" s="36" t="str">
        <f t="shared" si="9"/>
        <v/>
      </c>
      <c r="U45" s="36" t="str">
        <f t="shared" si="9"/>
        <v/>
      </c>
      <c r="V45" s="36" t="str">
        <f t="shared" si="9"/>
        <v/>
      </c>
      <c r="W45" s="36" t="str">
        <f t="shared" si="9"/>
        <v/>
      </c>
      <c r="X45" s="36" t="str">
        <f t="shared" si="9"/>
        <v/>
      </c>
      <c r="Y45" s="21"/>
    </row>
    <row r="46" spans="2:25" ht="14.25">
      <c r="B46" s="9"/>
      <c r="C46" s="31" t="s">
        <v>78</v>
      </c>
      <c r="D46" s="31" t="s">
        <v>239</v>
      </c>
      <c r="E46" s="36">
        <f t="shared" ref="E46:X46" si="10">IF(AND(E22="",E29=""),"",IF(E22="",E29*E41,IF(E29="",E22*E36,(E22*E36)+(E29*E41))))</f>
        <v>3.9375</v>
      </c>
      <c r="F46" s="36">
        <f t="shared" si="10"/>
        <v>2.625</v>
      </c>
      <c r="G46" s="36">
        <f t="shared" si="10"/>
        <v>9.1875</v>
      </c>
      <c r="H46" s="36">
        <f t="shared" si="10"/>
        <v>10.5</v>
      </c>
      <c r="I46" s="36">
        <f t="shared" si="10"/>
        <v>9.1875</v>
      </c>
      <c r="J46" s="36">
        <f t="shared" si="10"/>
        <v>3.9375</v>
      </c>
      <c r="K46" s="36">
        <f t="shared" si="10"/>
        <v>0</v>
      </c>
      <c r="L46" s="36">
        <f t="shared" si="10"/>
        <v>0</v>
      </c>
      <c r="M46" s="36" t="str">
        <f t="shared" si="10"/>
        <v/>
      </c>
      <c r="N46" s="36" t="str">
        <f t="shared" si="10"/>
        <v/>
      </c>
      <c r="O46" s="36" t="str">
        <f t="shared" si="10"/>
        <v/>
      </c>
      <c r="P46" s="36" t="str">
        <f t="shared" si="10"/>
        <v/>
      </c>
      <c r="Q46" s="36" t="str">
        <f t="shared" si="10"/>
        <v/>
      </c>
      <c r="R46" s="36" t="str">
        <f t="shared" si="10"/>
        <v/>
      </c>
      <c r="S46" s="36" t="str">
        <f t="shared" si="10"/>
        <v/>
      </c>
      <c r="T46" s="36" t="str">
        <f t="shared" si="10"/>
        <v/>
      </c>
      <c r="U46" s="36" t="str">
        <f t="shared" si="10"/>
        <v/>
      </c>
      <c r="V46" s="36" t="str">
        <f t="shared" si="10"/>
        <v/>
      </c>
      <c r="W46" s="36" t="str">
        <f t="shared" si="10"/>
        <v/>
      </c>
      <c r="X46" s="36" t="str">
        <f t="shared" si="10"/>
        <v/>
      </c>
      <c r="Y46" s="21"/>
    </row>
    <row r="47" spans="2:25" ht="14.25">
      <c r="B47" s="9"/>
      <c r="C47" s="31" t="s">
        <v>79</v>
      </c>
      <c r="D47" s="31" t="s">
        <v>240</v>
      </c>
      <c r="E47" s="36" t="str">
        <f t="shared" ref="E47:X47" si="11">IF(AND(E23="",E30=""),"",IF(E23="",E30*E42,IF(E30="",E23*E37,(E23*E37)+(E30*E42))))</f>
        <v/>
      </c>
      <c r="F47" s="36" t="str">
        <f t="shared" si="11"/>
        <v/>
      </c>
      <c r="G47" s="36" t="str">
        <f t="shared" si="11"/>
        <v/>
      </c>
      <c r="H47" s="36" t="str">
        <f t="shared" si="11"/>
        <v/>
      </c>
      <c r="I47" s="36" t="str">
        <f t="shared" si="11"/>
        <v/>
      </c>
      <c r="J47" s="36" t="str">
        <f t="shared" si="11"/>
        <v/>
      </c>
      <c r="K47" s="36" t="str">
        <f t="shared" si="11"/>
        <v/>
      </c>
      <c r="L47" s="36" t="str">
        <f t="shared" si="11"/>
        <v/>
      </c>
      <c r="M47" s="36" t="str">
        <f t="shared" si="11"/>
        <v/>
      </c>
      <c r="N47" s="36" t="str">
        <f t="shared" si="11"/>
        <v/>
      </c>
      <c r="O47" s="36" t="str">
        <f t="shared" si="11"/>
        <v/>
      </c>
      <c r="P47" s="36" t="str">
        <f t="shared" si="11"/>
        <v/>
      </c>
      <c r="Q47" s="36" t="str">
        <f t="shared" si="11"/>
        <v/>
      </c>
      <c r="R47" s="36" t="str">
        <f t="shared" si="11"/>
        <v/>
      </c>
      <c r="S47" s="36" t="str">
        <f t="shared" si="11"/>
        <v/>
      </c>
      <c r="T47" s="36" t="str">
        <f t="shared" si="11"/>
        <v/>
      </c>
      <c r="U47" s="36" t="str">
        <f t="shared" si="11"/>
        <v/>
      </c>
      <c r="V47" s="36" t="str">
        <f t="shared" si="11"/>
        <v/>
      </c>
      <c r="W47" s="36" t="str">
        <f t="shared" si="11"/>
        <v/>
      </c>
      <c r="X47" s="36" t="str">
        <f t="shared" si="11"/>
        <v/>
      </c>
      <c r="Y47" s="21"/>
    </row>
    <row r="48" spans="2:25" ht="14.25">
      <c r="B48" s="9"/>
      <c r="C48" s="31" t="s">
        <v>80</v>
      </c>
      <c r="D48" s="31" t="s">
        <v>241</v>
      </c>
      <c r="E48" s="36" t="str">
        <f>IF(AND(E24="",E31=""),"",IF(E24="",E31*E42,IF(E31="",E24*E37,(E24*E37)+(E31*E42))))</f>
        <v/>
      </c>
      <c r="F48" s="36" t="str">
        <f t="shared" ref="F48:X48" si="12">IF(AND(F24="",F31=""),"",IF(F24="",F31*F42,IF(F31="",F24*F37,(F24*F37)+(F31*F42))))</f>
        <v/>
      </c>
      <c r="G48" s="36" t="str">
        <f t="shared" si="12"/>
        <v/>
      </c>
      <c r="H48" s="36" t="str">
        <f t="shared" si="12"/>
        <v/>
      </c>
      <c r="I48" s="36" t="str">
        <f t="shared" si="12"/>
        <v/>
      </c>
      <c r="J48" s="36" t="str">
        <f t="shared" si="12"/>
        <v/>
      </c>
      <c r="K48" s="36" t="str">
        <f t="shared" si="12"/>
        <v/>
      </c>
      <c r="L48" s="36" t="str">
        <f t="shared" si="12"/>
        <v/>
      </c>
      <c r="M48" s="36" t="str">
        <f t="shared" si="12"/>
        <v/>
      </c>
      <c r="N48" s="36" t="str">
        <f t="shared" si="12"/>
        <v/>
      </c>
      <c r="O48" s="36" t="str">
        <f t="shared" si="12"/>
        <v/>
      </c>
      <c r="P48" s="36" t="str">
        <f t="shared" si="12"/>
        <v/>
      </c>
      <c r="Q48" s="36" t="str">
        <f t="shared" si="12"/>
        <v/>
      </c>
      <c r="R48" s="36" t="str">
        <f t="shared" si="12"/>
        <v/>
      </c>
      <c r="S48" s="36" t="str">
        <f t="shared" si="12"/>
        <v/>
      </c>
      <c r="T48" s="36" t="str">
        <f t="shared" si="12"/>
        <v/>
      </c>
      <c r="U48" s="36" t="str">
        <f t="shared" si="12"/>
        <v/>
      </c>
      <c r="V48" s="36" t="str">
        <f t="shared" si="12"/>
        <v/>
      </c>
      <c r="W48" s="36" t="str">
        <f t="shared" si="12"/>
        <v/>
      </c>
      <c r="X48" s="36" t="str">
        <f t="shared" si="12"/>
        <v/>
      </c>
      <c r="Y48" s="21"/>
    </row>
    <row r="49" spans="2:25" ht="14.25">
      <c r="B49" s="9"/>
      <c r="C49" s="31" t="s">
        <v>81</v>
      </c>
      <c r="D49" s="31" t="s">
        <v>242</v>
      </c>
      <c r="E49" s="36" t="str">
        <f>IF(AND(E25="",E32=""),"",IF(E25="",E32*E42,IF(E32="",E25*E37,(E25*E37)+(E32*E42))))</f>
        <v/>
      </c>
      <c r="F49" s="36" t="str">
        <f t="shared" ref="F49:X49" si="13">IF(AND(F25="",F32=""),"",IF(F25="",F32*F42,IF(F32="",F25*F37,(F25*F37)+(F32*F42))))</f>
        <v/>
      </c>
      <c r="G49" s="36" t="str">
        <f t="shared" si="13"/>
        <v/>
      </c>
      <c r="H49" s="36" t="str">
        <f t="shared" si="13"/>
        <v/>
      </c>
      <c r="I49" s="36" t="str">
        <f t="shared" si="13"/>
        <v/>
      </c>
      <c r="J49" s="36" t="str">
        <f t="shared" si="13"/>
        <v/>
      </c>
      <c r="K49" s="36" t="str">
        <f t="shared" si="13"/>
        <v/>
      </c>
      <c r="L49" s="36" t="str">
        <f t="shared" si="13"/>
        <v/>
      </c>
      <c r="M49" s="36" t="str">
        <f t="shared" si="13"/>
        <v/>
      </c>
      <c r="N49" s="36" t="str">
        <f t="shared" si="13"/>
        <v/>
      </c>
      <c r="O49" s="36" t="str">
        <f t="shared" si="13"/>
        <v/>
      </c>
      <c r="P49" s="36" t="str">
        <f t="shared" si="13"/>
        <v/>
      </c>
      <c r="Q49" s="36" t="str">
        <f t="shared" si="13"/>
        <v/>
      </c>
      <c r="R49" s="36" t="str">
        <f t="shared" si="13"/>
        <v/>
      </c>
      <c r="S49" s="36" t="str">
        <f t="shared" si="13"/>
        <v/>
      </c>
      <c r="T49" s="36" t="str">
        <f t="shared" si="13"/>
        <v/>
      </c>
      <c r="U49" s="36" t="str">
        <f t="shared" si="13"/>
        <v/>
      </c>
      <c r="V49" s="36" t="str">
        <f t="shared" si="13"/>
        <v/>
      </c>
      <c r="W49" s="36" t="str">
        <f t="shared" si="13"/>
        <v/>
      </c>
      <c r="X49" s="36" t="str">
        <f t="shared" si="13"/>
        <v/>
      </c>
      <c r="Y49" s="21"/>
    </row>
    <row r="50" spans="2:25">
      <c r="B50" s="9"/>
      <c r="C50" s="31"/>
      <c r="D50" s="31"/>
      <c r="E50" s="36"/>
      <c r="F50" s="36"/>
      <c r="G50" s="36"/>
      <c r="H50" s="36"/>
      <c r="I50" s="36"/>
      <c r="J50" s="36"/>
      <c r="K50" s="36"/>
      <c r="L50" s="36"/>
      <c r="M50" s="36"/>
      <c r="N50" s="36"/>
      <c r="O50" s="36"/>
      <c r="P50" s="36"/>
      <c r="Q50" s="36"/>
      <c r="R50" s="36"/>
      <c r="S50" s="36"/>
      <c r="T50" s="36"/>
      <c r="U50" s="36"/>
      <c r="V50" s="36"/>
      <c r="W50" s="36"/>
      <c r="X50" s="36"/>
      <c r="Y50" s="21"/>
    </row>
    <row r="51" spans="2:25" ht="14.25">
      <c r="B51" s="9"/>
      <c r="C51" s="31" t="s">
        <v>82</v>
      </c>
      <c r="D51" s="31" t="s">
        <v>277</v>
      </c>
      <c r="E51" s="37">
        <f>IF(E9="","",MAX(E44:E46))</f>
        <v>6.2099999999999991</v>
      </c>
      <c r="F51" s="37">
        <f t="shared" ref="F51:X51" si="14">IF(F9="","",MAX(F44:F46))</f>
        <v>10.125</v>
      </c>
      <c r="G51" s="37">
        <f t="shared" si="14"/>
        <v>20.25</v>
      </c>
      <c r="H51" s="37">
        <f t="shared" si="14"/>
        <v>12.6</v>
      </c>
      <c r="I51" s="37">
        <f t="shared" si="14"/>
        <v>24.3</v>
      </c>
      <c r="J51" s="37">
        <f t="shared" si="14"/>
        <v>16.2</v>
      </c>
      <c r="K51" s="37">
        <f t="shared" si="14"/>
        <v>6.0750000000000002</v>
      </c>
      <c r="L51" s="37">
        <f t="shared" si="14"/>
        <v>12.15</v>
      </c>
      <c r="M51" s="37" t="str">
        <f t="shared" si="14"/>
        <v/>
      </c>
      <c r="N51" s="37" t="str">
        <f t="shared" si="14"/>
        <v/>
      </c>
      <c r="O51" s="37" t="str">
        <f t="shared" si="14"/>
        <v/>
      </c>
      <c r="P51" s="37" t="str">
        <f t="shared" si="14"/>
        <v/>
      </c>
      <c r="Q51" s="37" t="str">
        <f t="shared" si="14"/>
        <v/>
      </c>
      <c r="R51" s="37" t="str">
        <f t="shared" si="14"/>
        <v/>
      </c>
      <c r="S51" s="37" t="str">
        <f t="shared" si="14"/>
        <v/>
      </c>
      <c r="T51" s="37" t="str">
        <f t="shared" si="14"/>
        <v/>
      </c>
      <c r="U51" s="37" t="str">
        <f t="shared" si="14"/>
        <v/>
      </c>
      <c r="V51" s="37" t="str">
        <f t="shared" si="14"/>
        <v/>
      </c>
      <c r="W51" s="37" t="str">
        <f t="shared" si="14"/>
        <v/>
      </c>
      <c r="X51" s="37" t="str">
        <f t="shared" si="14"/>
        <v/>
      </c>
      <c r="Y51" s="21"/>
    </row>
    <row r="52" spans="2:25" ht="14.25">
      <c r="B52" s="9"/>
      <c r="C52" s="31" t="s">
        <v>85</v>
      </c>
      <c r="D52" s="31" t="s">
        <v>276</v>
      </c>
      <c r="E52" s="36">
        <f>IF(E17="","",VLOOKUP(E17,Lookup!$G$18:$H$22,2,0))</f>
        <v>0</v>
      </c>
      <c r="F52" s="36">
        <f>IF(F17="","",VLOOKUP(F17,Lookup!$G$18:$H$22,2,0))</f>
        <v>0</v>
      </c>
      <c r="G52" s="36">
        <f>IF(G17="","",VLOOKUP(G17,Lookup!$G$18:$H$22,2,0))</f>
        <v>2</v>
      </c>
      <c r="H52" s="36">
        <f>IF(H17="","",VLOOKUP(H17,Lookup!$G$18:$H$22,2,0))</f>
        <v>2</v>
      </c>
      <c r="I52" s="36">
        <f>IF(I17="","",VLOOKUP(I17,Lookup!$G$18:$H$22,2,0))</f>
        <v>2</v>
      </c>
      <c r="J52" s="36">
        <f>IF(J17="","",VLOOKUP(J17,Lookup!$G$18:$H$22,2,0))</f>
        <v>2</v>
      </c>
      <c r="K52" s="36">
        <f>IF(K17="","",VLOOKUP(K17,Lookup!$G$18:$H$22,2,0))</f>
        <v>0</v>
      </c>
      <c r="L52" s="36">
        <f>IF(L17="","",VLOOKUP(L17,Lookup!$G$18:$H$22,2,0))</f>
        <v>0</v>
      </c>
      <c r="M52" s="36" t="str">
        <f>IF(M17="","",VLOOKUP(M17,Lookup!$G$18:$H$22,2,0))</f>
        <v/>
      </c>
      <c r="N52" s="36" t="str">
        <f>IF(N17="","",VLOOKUP(N17,Lookup!$G$18:$H$22,2,0))</f>
        <v/>
      </c>
      <c r="O52" s="36" t="str">
        <f>IF(O17="","",VLOOKUP(O17,Lookup!$G$18:$H$22,2,0))</f>
        <v/>
      </c>
      <c r="P52" s="36" t="str">
        <f>IF(P17="","",VLOOKUP(P17,Lookup!$G$18:$H$22,2,0))</f>
        <v/>
      </c>
      <c r="Q52" s="36" t="str">
        <f>IF(Q17="","",VLOOKUP(Q17,Lookup!$G$18:$H$22,2,0))</f>
        <v/>
      </c>
      <c r="R52" s="36" t="str">
        <f>IF(R17="","",VLOOKUP(R17,Lookup!$G$18:$H$22,2,0))</f>
        <v/>
      </c>
      <c r="S52" s="36" t="str">
        <f>IF(S17="","",VLOOKUP(S17,Lookup!$G$18:$H$22,2,0))</f>
        <v/>
      </c>
      <c r="T52" s="36" t="str">
        <f>IF(T17="","",VLOOKUP(T17,Lookup!$G$18:$H$22,2,0))</f>
        <v/>
      </c>
      <c r="U52" s="36" t="str">
        <f>IF(U17="","",VLOOKUP(U17,Lookup!$G$18:$H$22,2,0))</f>
        <v/>
      </c>
      <c r="V52" s="36" t="str">
        <f>IF(V17="","",VLOOKUP(V17,Lookup!$G$18:$H$22,2,0))</f>
        <v/>
      </c>
      <c r="W52" s="36" t="str">
        <f>IF(W17="","",VLOOKUP(W17,Lookup!$G$18:$H$22,2,0))</f>
        <v/>
      </c>
      <c r="X52" s="36" t="str">
        <f>IF(X17="","",VLOOKUP(X17,Lookup!$G$18:$H$22,2,0))</f>
        <v/>
      </c>
      <c r="Y52" s="21"/>
    </row>
    <row r="53" spans="2:25">
      <c r="B53" s="9"/>
      <c r="C53" s="10"/>
      <c r="D53" s="10"/>
      <c r="E53" s="20"/>
      <c r="F53" s="10"/>
      <c r="G53" s="10"/>
      <c r="H53" s="10"/>
      <c r="I53" s="10"/>
      <c r="J53" s="10"/>
      <c r="K53" s="10"/>
      <c r="L53" s="10"/>
      <c r="M53" s="10"/>
      <c r="N53" s="10"/>
      <c r="O53" s="10"/>
      <c r="P53" s="10"/>
      <c r="Q53" s="10"/>
      <c r="R53" s="10"/>
      <c r="S53" s="10"/>
      <c r="T53" s="10"/>
      <c r="U53" s="10"/>
      <c r="V53" s="10"/>
      <c r="W53" s="10"/>
      <c r="X53" s="10"/>
      <c r="Y53" s="21"/>
    </row>
    <row r="54" spans="2:25">
      <c r="B54" s="9"/>
      <c r="C54" s="17" t="s">
        <v>9</v>
      </c>
      <c r="D54" s="17"/>
      <c r="E54" s="30"/>
      <c r="F54" s="17"/>
      <c r="G54" s="17"/>
      <c r="H54" s="17"/>
      <c r="I54" s="17"/>
      <c r="J54" s="17"/>
      <c r="K54" s="17"/>
      <c r="L54" s="17"/>
      <c r="M54" s="17"/>
      <c r="N54" s="17"/>
      <c r="O54" s="17"/>
      <c r="P54" s="17"/>
      <c r="Q54" s="17"/>
      <c r="R54" s="17"/>
      <c r="S54" s="17"/>
      <c r="T54" s="17"/>
      <c r="U54" s="17"/>
      <c r="V54" s="17"/>
      <c r="W54" s="17"/>
      <c r="X54" s="17"/>
      <c r="Y54" s="21"/>
    </row>
    <row r="55" spans="2:25" ht="14.25">
      <c r="B55" s="9"/>
      <c r="C55" s="34" t="s">
        <v>87</v>
      </c>
      <c r="D55" s="34" t="s">
        <v>140</v>
      </c>
      <c r="E55" s="32">
        <f>IF(E7="","",E51+E52+E16)</f>
        <v>10.209999999999999</v>
      </c>
      <c r="F55" s="32">
        <f t="shared" ref="F55:X55" si="15">IF(F7="","",F51+F52+F16)</f>
        <v>14.125</v>
      </c>
      <c r="G55" s="32">
        <f t="shared" si="15"/>
        <v>26.25</v>
      </c>
      <c r="H55" s="32">
        <f t="shared" si="15"/>
        <v>18.600000000000001</v>
      </c>
      <c r="I55" s="32">
        <f t="shared" si="15"/>
        <v>30.3</v>
      </c>
      <c r="J55" s="32">
        <f t="shared" si="15"/>
        <v>22.2</v>
      </c>
      <c r="K55" s="32">
        <f t="shared" si="15"/>
        <v>10.074999999999999</v>
      </c>
      <c r="L55" s="32">
        <f t="shared" si="15"/>
        <v>16.149999999999999</v>
      </c>
      <c r="M55" s="32" t="str">
        <f t="shared" si="15"/>
        <v/>
      </c>
      <c r="N55" s="32" t="str">
        <f t="shared" si="15"/>
        <v/>
      </c>
      <c r="O55" s="32" t="str">
        <f t="shared" si="15"/>
        <v/>
      </c>
      <c r="P55" s="32" t="str">
        <f t="shared" si="15"/>
        <v/>
      </c>
      <c r="Q55" s="32" t="str">
        <f t="shared" si="15"/>
        <v/>
      </c>
      <c r="R55" s="32" t="str">
        <f t="shared" si="15"/>
        <v/>
      </c>
      <c r="S55" s="32" t="str">
        <f t="shared" si="15"/>
        <v/>
      </c>
      <c r="T55" s="32" t="str">
        <f t="shared" si="15"/>
        <v/>
      </c>
      <c r="U55" s="32" t="str">
        <f t="shared" si="15"/>
        <v/>
      </c>
      <c r="V55" s="32" t="str">
        <f t="shared" si="15"/>
        <v/>
      </c>
      <c r="W55" s="32" t="str">
        <f t="shared" si="15"/>
        <v/>
      </c>
      <c r="X55" s="32" t="str">
        <f t="shared" si="15"/>
        <v/>
      </c>
      <c r="Y55" s="21"/>
    </row>
    <row r="56" spans="2:25">
      <c r="B56" s="9"/>
      <c r="C56" s="10"/>
      <c r="D56" s="10"/>
      <c r="E56" s="10"/>
      <c r="F56" s="10"/>
      <c r="G56" s="10"/>
      <c r="H56" s="10"/>
      <c r="I56" s="10"/>
      <c r="J56" s="10"/>
      <c r="K56" s="10"/>
      <c r="L56" s="10"/>
      <c r="M56" s="10"/>
      <c r="N56" s="10"/>
      <c r="O56" s="10"/>
      <c r="P56" s="10"/>
      <c r="Q56" s="10"/>
      <c r="R56" s="10"/>
      <c r="S56" s="10"/>
      <c r="T56" s="10"/>
      <c r="U56" s="10"/>
      <c r="V56" s="10"/>
      <c r="W56" s="10"/>
      <c r="X56" s="10"/>
      <c r="Y56" s="21"/>
    </row>
    <row r="57" spans="2:25" ht="15.75">
      <c r="B57" s="9"/>
      <c r="C57" s="25" t="s">
        <v>24</v>
      </c>
      <c r="D57" s="10"/>
      <c r="E57" s="13"/>
      <c r="F57" s="10"/>
      <c r="G57" s="10"/>
      <c r="H57" s="10"/>
      <c r="I57" s="10"/>
      <c r="J57" s="10"/>
      <c r="K57" s="10"/>
      <c r="L57" s="10"/>
      <c r="M57" s="10"/>
      <c r="N57" s="10"/>
      <c r="O57" s="10"/>
      <c r="P57" s="10"/>
      <c r="Q57" s="10"/>
      <c r="R57" s="10"/>
      <c r="S57" s="10"/>
      <c r="T57" s="10"/>
      <c r="U57" s="10"/>
      <c r="V57" s="10"/>
      <c r="W57" s="10"/>
      <c r="X57" s="10"/>
      <c r="Y57" s="21"/>
    </row>
    <row r="58" spans="2:25">
      <c r="B58" s="9"/>
      <c r="C58" s="17" t="s">
        <v>7</v>
      </c>
      <c r="D58" s="17"/>
      <c r="E58" s="43">
        <v>1</v>
      </c>
      <c r="F58" s="43">
        <v>2</v>
      </c>
      <c r="G58" s="43">
        <v>3</v>
      </c>
      <c r="H58" s="43">
        <v>4</v>
      </c>
      <c r="I58" s="43">
        <v>5</v>
      </c>
      <c r="J58" s="43">
        <v>6</v>
      </c>
      <c r="K58" s="43">
        <v>7</v>
      </c>
      <c r="L58" s="43">
        <v>8</v>
      </c>
      <c r="M58" s="43">
        <v>9</v>
      </c>
      <c r="N58" s="43">
        <v>10</v>
      </c>
      <c r="O58" s="43">
        <v>11</v>
      </c>
      <c r="P58" s="43">
        <v>12</v>
      </c>
      <c r="Q58" s="43">
        <v>13</v>
      </c>
      <c r="R58" s="43">
        <v>14</v>
      </c>
      <c r="S58" s="43">
        <v>15</v>
      </c>
      <c r="T58" s="43">
        <v>16</v>
      </c>
      <c r="U58" s="43">
        <v>17</v>
      </c>
      <c r="V58" s="43">
        <v>18</v>
      </c>
      <c r="W58" s="43">
        <v>19</v>
      </c>
      <c r="X58" s="43">
        <v>20</v>
      </c>
      <c r="Y58" s="21"/>
    </row>
    <row r="59" spans="2:25">
      <c r="B59" s="9"/>
      <c r="C59" s="38"/>
      <c r="D59" s="39" t="s">
        <v>59</v>
      </c>
      <c r="E59" s="77">
        <v>2</v>
      </c>
      <c r="F59" s="77">
        <v>4</v>
      </c>
      <c r="G59" s="77">
        <v>8</v>
      </c>
      <c r="H59" s="77">
        <v>10</v>
      </c>
      <c r="I59" s="77">
        <v>6</v>
      </c>
      <c r="J59" s="77">
        <v>12</v>
      </c>
      <c r="K59" s="77">
        <v>4</v>
      </c>
      <c r="L59" s="77">
        <v>3</v>
      </c>
      <c r="M59" s="77"/>
      <c r="N59" s="77"/>
      <c r="O59" s="77"/>
      <c r="P59" s="77"/>
      <c r="Q59" s="77"/>
      <c r="R59" s="77"/>
      <c r="S59" s="77"/>
      <c r="T59" s="77"/>
      <c r="U59" s="77"/>
      <c r="V59" s="77"/>
      <c r="W59" s="77"/>
      <c r="X59" s="77"/>
      <c r="Y59" s="21"/>
    </row>
    <row r="60" spans="2:25">
      <c r="B60" s="9"/>
      <c r="C60" s="38"/>
      <c r="D60" s="38" t="s">
        <v>58</v>
      </c>
      <c r="E60" s="77">
        <v>2</v>
      </c>
      <c r="F60" s="77">
        <v>4</v>
      </c>
      <c r="G60" s="77">
        <v>6</v>
      </c>
      <c r="H60" s="77">
        <v>6</v>
      </c>
      <c r="I60" s="77">
        <v>8</v>
      </c>
      <c r="J60" s="77">
        <v>4</v>
      </c>
      <c r="K60" s="77">
        <v>2</v>
      </c>
      <c r="L60" s="77">
        <v>0</v>
      </c>
      <c r="M60" s="77"/>
      <c r="N60" s="77"/>
      <c r="O60" s="77"/>
      <c r="P60" s="77"/>
      <c r="Q60" s="77"/>
      <c r="R60" s="77"/>
      <c r="S60" s="77"/>
      <c r="T60" s="77"/>
      <c r="U60" s="77"/>
      <c r="V60" s="77"/>
      <c r="W60" s="77"/>
      <c r="X60" s="77"/>
      <c r="Y60" s="21"/>
    </row>
    <row r="61" spans="2:25">
      <c r="B61" s="9"/>
      <c r="C61" s="38"/>
      <c r="D61" s="39" t="s">
        <v>260</v>
      </c>
      <c r="E61" s="40" t="s">
        <v>261</v>
      </c>
      <c r="F61" s="40" t="s">
        <v>261</v>
      </c>
      <c r="G61" s="40" t="s">
        <v>261</v>
      </c>
      <c r="H61" s="40" t="s">
        <v>261</v>
      </c>
      <c r="I61" s="40" t="s">
        <v>261</v>
      </c>
      <c r="J61" s="40" t="s">
        <v>261</v>
      </c>
      <c r="K61" s="40" t="s">
        <v>261</v>
      </c>
      <c r="L61" s="40" t="s">
        <v>261</v>
      </c>
      <c r="M61" s="40"/>
      <c r="N61" s="40"/>
      <c r="O61" s="40"/>
      <c r="P61" s="40"/>
      <c r="Q61" s="40"/>
      <c r="R61" s="40"/>
      <c r="S61" s="40"/>
      <c r="T61" s="40"/>
      <c r="U61" s="40"/>
      <c r="V61" s="40"/>
      <c r="W61" s="40"/>
      <c r="X61" s="40"/>
      <c r="Y61" s="21"/>
    </row>
    <row r="62" spans="2:25" ht="25.5" customHeight="1">
      <c r="B62" s="9"/>
      <c r="C62" s="38"/>
      <c r="D62" s="39" t="s">
        <v>243</v>
      </c>
      <c r="E62" s="80" t="s">
        <v>248</v>
      </c>
      <c r="F62" s="80" t="s">
        <v>248</v>
      </c>
      <c r="G62" s="80" t="s">
        <v>248</v>
      </c>
      <c r="H62" s="80" t="s">
        <v>248</v>
      </c>
      <c r="I62" s="80" t="s">
        <v>248</v>
      </c>
      <c r="J62" s="80" t="s">
        <v>248</v>
      </c>
      <c r="K62" s="80" t="s">
        <v>248</v>
      </c>
      <c r="L62" s="80" t="s">
        <v>248</v>
      </c>
      <c r="M62" s="80"/>
      <c r="N62" s="80"/>
      <c r="O62" s="80"/>
      <c r="P62" s="80"/>
      <c r="Q62" s="80"/>
      <c r="R62" s="80"/>
      <c r="S62" s="80"/>
      <c r="T62" s="80"/>
      <c r="U62" s="80"/>
      <c r="V62" s="80"/>
      <c r="W62" s="80"/>
      <c r="X62" s="80"/>
      <c r="Y62" s="21"/>
    </row>
    <row r="63" spans="2:25" ht="12.75" customHeight="1">
      <c r="B63" s="9"/>
      <c r="C63" s="38"/>
      <c r="D63" s="39" t="s">
        <v>253</v>
      </c>
      <c r="E63" s="80" t="s">
        <v>254</v>
      </c>
      <c r="F63" s="80" t="s">
        <v>254</v>
      </c>
      <c r="G63" s="80" t="s">
        <v>254</v>
      </c>
      <c r="H63" s="80" t="s">
        <v>254</v>
      </c>
      <c r="I63" s="80" t="s">
        <v>254</v>
      </c>
      <c r="J63" s="80" t="s">
        <v>254</v>
      </c>
      <c r="K63" s="80" t="s">
        <v>254</v>
      </c>
      <c r="L63" s="80" t="s">
        <v>254</v>
      </c>
      <c r="M63" s="80"/>
      <c r="N63" s="80"/>
      <c r="O63" s="80"/>
      <c r="P63" s="80"/>
      <c r="Q63" s="80"/>
      <c r="R63" s="80"/>
      <c r="S63" s="80"/>
      <c r="T63" s="80"/>
      <c r="U63" s="80"/>
      <c r="V63" s="80"/>
      <c r="W63" s="80"/>
      <c r="X63" s="80"/>
      <c r="Y63" s="21"/>
    </row>
    <row r="64" spans="2:25" ht="12.75" customHeight="1">
      <c r="B64" s="9"/>
      <c r="C64" s="38"/>
      <c r="D64" s="39" t="s">
        <v>257</v>
      </c>
      <c r="E64" s="80" t="s">
        <v>111</v>
      </c>
      <c r="F64" s="80" t="s">
        <v>111</v>
      </c>
      <c r="G64" s="80" t="s">
        <v>111</v>
      </c>
      <c r="H64" s="80" t="s">
        <v>111</v>
      </c>
      <c r="I64" s="80" t="s">
        <v>111</v>
      </c>
      <c r="J64" s="80" t="s">
        <v>111</v>
      </c>
      <c r="K64" s="80" t="s">
        <v>111</v>
      </c>
      <c r="L64" s="80" t="s">
        <v>111</v>
      </c>
      <c r="M64" s="80"/>
      <c r="N64" s="80"/>
      <c r="O64" s="80"/>
      <c r="P64" s="80"/>
      <c r="Q64" s="80"/>
      <c r="R64" s="80"/>
      <c r="S64" s="80"/>
      <c r="T64" s="80"/>
      <c r="U64" s="80"/>
      <c r="V64" s="80"/>
      <c r="W64" s="80"/>
      <c r="X64" s="80"/>
      <c r="Y64" s="21"/>
    </row>
    <row r="65" spans="2:25" ht="12.75" customHeight="1">
      <c r="B65" s="9"/>
      <c r="C65" s="38"/>
      <c r="D65" s="39" t="s">
        <v>258</v>
      </c>
      <c r="E65" s="82">
        <v>2</v>
      </c>
      <c r="F65" s="82">
        <v>2</v>
      </c>
      <c r="G65" s="82">
        <v>2</v>
      </c>
      <c r="H65" s="82">
        <v>2</v>
      </c>
      <c r="I65" s="82">
        <v>2</v>
      </c>
      <c r="J65" s="82">
        <v>2</v>
      </c>
      <c r="K65" s="82">
        <v>2</v>
      </c>
      <c r="L65" s="82">
        <v>2</v>
      </c>
      <c r="M65" s="82"/>
      <c r="N65" s="82"/>
      <c r="O65" s="82"/>
      <c r="P65" s="82"/>
      <c r="Q65" s="82"/>
      <c r="R65" s="82"/>
      <c r="S65" s="82"/>
      <c r="T65" s="82"/>
      <c r="U65" s="82"/>
      <c r="V65" s="82"/>
      <c r="W65" s="82"/>
      <c r="X65" s="82"/>
      <c r="Y65" s="21"/>
    </row>
    <row r="66" spans="2:25">
      <c r="B66" s="9"/>
      <c r="C66" s="38"/>
      <c r="D66" s="39" t="s">
        <v>57</v>
      </c>
      <c r="E66" s="41">
        <v>3</v>
      </c>
      <c r="F66" s="41">
        <v>3</v>
      </c>
      <c r="G66" s="41">
        <v>3</v>
      </c>
      <c r="H66" s="41">
        <v>3</v>
      </c>
      <c r="I66" s="41">
        <v>3</v>
      </c>
      <c r="J66" s="41">
        <v>3</v>
      </c>
      <c r="K66" s="41">
        <v>3</v>
      </c>
      <c r="L66" s="41">
        <v>3</v>
      </c>
      <c r="M66" s="41"/>
      <c r="N66" s="41"/>
      <c r="O66" s="41"/>
      <c r="P66" s="41"/>
      <c r="Q66" s="41"/>
      <c r="R66" s="41"/>
      <c r="S66" s="41"/>
      <c r="T66" s="41"/>
      <c r="U66" s="41"/>
      <c r="V66" s="41"/>
      <c r="W66" s="41"/>
      <c r="X66" s="41"/>
      <c r="Y66" s="21"/>
    </row>
    <row r="67" spans="2:25">
      <c r="B67" s="9"/>
      <c r="C67" s="38"/>
      <c r="D67" s="38" t="s">
        <v>72</v>
      </c>
      <c r="E67" s="51">
        <v>0.45</v>
      </c>
      <c r="F67" s="51">
        <v>0.45</v>
      </c>
      <c r="G67" s="51">
        <v>0.45</v>
      </c>
      <c r="H67" s="51">
        <v>0.45</v>
      </c>
      <c r="I67" s="51">
        <v>0.45</v>
      </c>
      <c r="J67" s="51">
        <v>0.45</v>
      </c>
      <c r="K67" s="51">
        <v>0.45</v>
      </c>
      <c r="L67" s="51">
        <v>0.45</v>
      </c>
      <c r="M67" s="51"/>
      <c r="N67" s="51"/>
      <c r="O67" s="51"/>
      <c r="P67" s="51"/>
      <c r="Q67" s="51"/>
      <c r="R67" s="51"/>
      <c r="S67" s="51"/>
      <c r="T67" s="51"/>
      <c r="U67" s="51"/>
      <c r="V67" s="51"/>
      <c r="W67" s="51"/>
      <c r="X67" s="51"/>
      <c r="Y67" s="21"/>
    </row>
    <row r="68" spans="2:25">
      <c r="B68" s="9"/>
      <c r="C68" s="38"/>
      <c r="D68" s="38" t="s">
        <v>83</v>
      </c>
      <c r="E68" s="41">
        <v>4</v>
      </c>
      <c r="F68" s="41">
        <v>4</v>
      </c>
      <c r="G68" s="41">
        <v>4</v>
      </c>
      <c r="H68" s="41">
        <v>4</v>
      </c>
      <c r="I68" s="41">
        <v>4</v>
      </c>
      <c r="J68" s="41">
        <v>4</v>
      </c>
      <c r="K68" s="41">
        <v>4</v>
      </c>
      <c r="L68" s="41">
        <v>4</v>
      </c>
      <c r="M68" s="41"/>
      <c r="N68" s="41"/>
      <c r="O68" s="41"/>
      <c r="P68" s="41"/>
      <c r="Q68" s="41"/>
      <c r="R68" s="41"/>
      <c r="S68" s="41"/>
      <c r="T68" s="41"/>
      <c r="U68" s="41"/>
      <c r="V68" s="41"/>
      <c r="W68" s="41"/>
      <c r="X68" s="41"/>
      <c r="Y68" s="21"/>
    </row>
    <row r="69" spans="2:25">
      <c r="B69" s="9"/>
      <c r="C69" s="38"/>
      <c r="D69" s="38" t="s">
        <v>84</v>
      </c>
      <c r="E69" s="41">
        <v>1</v>
      </c>
      <c r="F69" s="41">
        <v>1</v>
      </c>
      <c r="G69" s="41">
        <v>2</v>
      </c>
      <c r="H69" s="41">
        <v>2</v>
      </c>
      <c r="I69" s="41">
        <v>2</v>
      </c>
      <c r="J69" s="41">
        <v>2</v>
      </c>
      <c r="K69" s="41">
        <v>1</v>
      </c>
      <c r="L69" s="41">
        <v>1</v>
      </c>
      <c r="M69" s="41"/>
      <c r="N69" s="41"/>
      <c r="O69" s="41"/>
      <c r="P69" s="41"/>
      <c r="Q69" s="41"/>
      <c r="R69" s="41"/>
      <c r="S69" s="41"/>
      <c r="T69" s="41"/>
      <c r="U69" s="41"/>
      <c r="V69" s="41"/>
      <c r="W69" s="41"/>
      <c r="X69" s="41"/>
      <c r="Y69" s="21"/>
    </row>
    <row r="70" spans="2:25">
      <c r="B70" s="9"/>
      <c r="C70" s="10"/>
      <c r="D70" s="10"/>
      <c r="E70" s="19"/>
      <c r="F70" s="10"/>
      <c r="G70" s="10"/>
      <c r="H70" s="10"/>
      <c r="I70" s="10"/>
      <c r="J70" s="10"/>
      <c r="K70" s="10"/>
      <c r="L70" s="10"/>
      <c r="M70" s="10"/>
      <c r="N70" s="10"/>
      <c r="O70" s="10"/>
      <c r="P70" s="10"/>
      <c r="Q70" s="10"/>
      <c r="R70" s="10"/>
      <c r="S70" s="10"/>
      <c r="T70" s="10"/>
      <c r="U70" s="10"/>
      <c r="V70" s="10"/>
      <c r="W70" s="10"/>
      <c r="X70" s="10"/>
      <c r="Y70" s="21"/>
    </row>
    <row r="71" spans="2:25">
      <c r="B71" s="9"/>
      <c r="C71" s="17" t="s">
        <v>8</v>
      </c>
      <c r="D71" s="26"/>
      <c r="E71" s="29"/>
      <c r="F71" s="26"/>
      <c r="G71" s="26"/>
      <c r="H71" s="26"/>
      <c r="I71" s="26"/>
      <c r="J71" s="26"/>
      <c r="K71" s="26"/>
      <c r="L71" s="26"/>
      <c r="M71" s="26"/>
      <c r="N71" s="26"/>
      <c r="O71" s="26"/>
      <c r="P71" s="26"/>
      <c r="Q71" s="26"/>
      <c r="R71" s="26"/>
      <c r="S71" s="26"/>
      <c r="T71" s="26"/>
      <c r="U71" s="26"/>
      <c r="V71" s="26"/>
      <c r="W71" s="26"/>
      <c r="X71" s="26"/>
      <c r="Y71" s="21"/>
    </row>
    <row r="72" spans="2:25" ht="14.25">
      <c r="B72" s="9"/>
      <c r="C72" s="31" t="s">
        <v>66</v>
      </c>
      <c r="D72" s="31" t="s">
        <v>88</v>
      </c>
      <c r="E72" s="36">
        <f>IF(E61="","",E59*IF(E61="All",IF(E62="None",VLOOKUP(E66,Lookup!$G$11:$I$15,2),E67),IF(E66&gt;E65,E67,1)))</f>
        <v>0.9</v>
      </c>
      <c r="F72" s="36">
        <f>IF(F61="","",F59*IF(F61="All",IF(F62="None",VLOOKUP(F66,Lookup!$G$11:$I$15,2),F67),IF(F66&gt;F65,F67,1)))</f>
        <v>1.8</v>
      </c>
      <c r="G72" s="36">
        <f>IF(G61="","",G59*IF(G61="All",IF(G62="None",VLOOKUP(G66,Lookup!$G$11:$I$15,2),G67),IF(G66&gt;G65,G67,1)))</f>
        <v>3.6</v>
      </c>
      <c r="H72" s="36">
        <f>IF(H61="","",H59*IF(H61="All",IF(H62="None",VLOOKUP(H66,Lookup!$G$11:$I$15,2),H67),IF(H66&gt;H65,H67,1)))</f>
        <v>4.5</v>
      </c>
      <c r="I72" s="36">
        <f>IF(I61="","",I59*IF(I61="All",IF(I62="None",VLOOKUP(I66,Lookup!$G$11:$I$15,2),I67),IF(I66&gt;I65,I67,1)))</f>
        <v>2.7</v>
      </c>
      <c r="J72" s="36">
        <f>IF(J61="","",J59*IF(J61="All",IF(J62="None",VLOOKUP(J66,Lookup!$G$11:$I$15,2),J67),IF(J66&gt;J65,J67,1)))</f>
        <v>5.4</v>
      </c>
      <c r="K72" s="36">
        <f>IF(K61="","",K59*IF(K61="All",IF(K62="None",VLOOKUP(K66,Lookup!$G$11:$I$15,2),K67),IF(K66&gt;K65,K67,1)))</f>
        <v>1.8</v>
      </c>
      <c r="L72" s="36">
        <f>IF(L61="","",L59*IF(L61="All",IF(L62="None",VLOOKUP(L66,Lookup!$G$11:$I$15,2),L67),IF(L66&gt;L65,L67,1)))</f>
        <v>1.35</v>
      </c>
      <c r="M72" s="36" t="str">
        <f>IF(M61="","",M59*IF(M61="All",IF(M62="None",VLOOKUP(M66,Lookup!$G$11:$I$15,2),M67),IF(M66&gt;M65,M67,1)))</f>
        <v/>
      </c>
      <c r="N72" s="36" t="str">
        <f>IF(N61="","",N59*IF(N61="All",IF(N62="None",VLOOKUP(N66,Lookup!$G$11:$I$15,2),N67),IF(N66&gt;N65,N67,1)))</f>
        <v/>
      </c>
      <c r="O72" s="36" t="str">
        <f>IF(O61="","",O59*IF(O61="All",IF(O62="None",VLOOKUP(O66,Lookup!$G$11:$I$15,2),O67),IF(O66&gt;O65,O67,1)))</f>
        <v/>
      </c>
      <c r="P72" s="36" t="str">
        <f>IF(P61="","",P59*IF(P61="All",IF(P62="None",VLOOKUP(P66,Lookup!$G$11:$I$15,2),P67),IF(P66&gt;P65,P67,1)))</f>
        <v/>
      </c>
      <c r="Q72" s="36" t="str">
        <f>IF(Q61="","",Q59*IF(Q61="All",IF(Q62="None",VLOOKUP(Q66,Lookup!$G$11:$I$15,2),Q67),IF(Q66&gt;Q65,Q67,1)))</f>
        <v/>
      </c>
      <c r="R72" s="36" t="str">
        <f>IF(R61="","",R59*IF(R61="All",IF(R62="None",VLOOKUP(R66,Lookup!$G$11:$I$15,2),R67),IF(R66&gt;R65,R67,1)))</f>
        <v/>
      </c>
      <c r="S72" s="36" t="str">
        <f>IF(S61="","",S59*IF(S61="All",IF(S62="None",VLOOKUP(S66,Lookup!$G$11:$I$15,2),S67),IF(S66&gt;S65,S67,1)))</f>
        <v/>
      </c>
      <c r="T72" s="36" t="str">
        <f>IF(T61="","",T59*IF(T61="All",IF(T62="None",VLOOKUP(T66,Lookup!$G$11:$I$15,2),T67),IF(T66&gt;T65,T67,1)))</f>
        <v/>
      </c>
      <c r="U72" s="36" t="str">
        <f>IF(U61="","",U59*IF(U61="All",IF(U62="None",VLOOKUP(U66,Lookup!$G$11:$I$15,2),U67),IF(U66&gt;U65,U67,1)))</f>
        <v/>
      </c>
      <c r="V72" s="36" t="str">
        <f>IF(V61="","",V59*IF(V61="All",IF(V62="None",VLOOKUP(V66,Lookup!$G$11:$I$15,2),V67),IF(V66&gt;V65,V67,1)))</f>
        <v/>
      </c>
      <c r="W72" s="36" t="str">
        <f>IF(W61="","",W59*IF(W61="All",IF(W62="None",VLOOKUP(W66,Lookup!$G$11:$I$15,2),W67),IF(W66&gt;W65,W67,1)))</f>
        <v/>
      </c>
      <c r="X72" s="36" t="str">
        <f>IF(X61="","",X59*IF(X61="All",IF(X62="None",VLOOKUP(X66,Lookup!$G$11:$I$15,2),X67),IF(X66&gt;X65,X67,1)))</f>
        <v/>
      </c>
      <c r="Y72" s="21"/>
    </row>
    <row r="73" spans="2:25" ht="14.25">
      <c r="B73" s="9"/>
      <c r="C73" s="31" t="s">
        <v>67</v>
      </c>
      <c r="D73" s="31" t="s">
        <v>89</v>
      </c>
      <c r="E73" s="36">
        <f>IF(E61="","",IF(AND(E65=E66,E61="Front"),"",IF(E61="Front",E59-E72,(E59-E72)/(E66-1))))</f>
        <v>1.1000000000000001</v>
      </c>
      <c r="F73" s="36">
        <f t="shared" ref="F73" si="16">IF(F61="","",IF(AND(F65=F66,F61="Front"),"",IF(F61="Front",F59-F72,(F59-F72)/(F66-1))))</f>
        <v>2.2000000000000002</v>
      </c>
      <c r="G73" s="36">
        <f t="shared" ref="G73" si="17">IF(G61="","",IF(AND(G65=G66,G61="Front"),"",IF(G61="Front",G59-G72,(G59-G72)/(G66-1))))</f>
        <v>4.4000000000000004</v>
      </c>
      <c r="H73" s="36">
        <f t="shared" ref="H73" si="18">IF(H61="","",IF(AND(H65=H66,H61="Front"),"",IF(H61="Front",H59-H72,(H59-H72)/(H66-1))))</f>
        <v>5.5</v>
      </c>
      <c r="I73" s="36">
        <f t="shared" ref="I73" si="19">IF(I61="","",IF(AND(I65=I66,I61="Front"),"",IF(I61="Front",I59-I72,(I59-I72)/(I66-1))))</f>
        <v>3.3</v>
      </c>
      <c r="J73" s="36">
        <f t="shared" ref="J73" si="20">IF(J61="","",IF(AND(J65=J66,J61="Front"),"",IF(J61="Front",J59-J72,(J59-J72)/(J66-1))))</f>
        <v>6.6</v>
      </c>
      <c r="K73" s="36">
        <f t="shared" ref="K73" si="21">IF(K61="","",IF(AND(K65=K66,K61="Front"),"",IF(K61="Front",K59-K72,(K59-K72)/(K66-1))))</f>
        <v>2.2000000000000002</v>
      </c>
      <c r="L73" s="36">
        <f t="shared" ref="L73" si="22">IF(L61="","",IF(AND(L65=L66,L61="Front"),"",IF(L61="Front",L59-L72,(L59-L72)/(L66-1))))</f>
        <v>1.65</v>
      </c>
      <c r="M73" s="36" t="str">
        <f t="shared" ref="M73" si="23">IF(M61="","",IF(AND(M65=M66,M61="Front"),"",IF(M61="Front",M59-M72,(M59-M72)/(M66-1))))</f>
        <v/>
      </c>
      <c r="N73" s="36" t="str">
        <f t="shared" ref="N73" si="24">IF(N61="","",IF(AND(N65=N66,N61="Front"),"",IF(N61="Front",N59-N72,(N59-N72)/(N66-1))))</f>
        <v/>
      </c>
      <c r="O73" s="36" t="str">
        <f t="shared" ref="O73" si="25">IF(O61="","",IF(AND(O65=O66,O61="Front"),"",IF(O61="Front",O59-O72,(O59-O72)/(O66-1))))</f>
        <v/>
      </c>
      <c r="P73" s="36" t="str">
        <f t="shared" ref="P73" si="26">IF(P61="","",IF(AND(P65=P66,P61="Front"),"",IF(P61="Front",P59-P72,(P59-P72)/(P66-1))))</f>
        <v/>
      </c>
      <c r="Q73" s="36" t="str">
        <f t="shared" ref="Q73" si="27">IF(Q61="","",IF(AND(Q65=Q66,Q61="Front"),"",IF(Q61="Front",Q59-Q72,(Q59-Q72)/(Q66-1))))</f>
        <v/>
      </c>
      <c r="R73" s="36" t="str">
        <f t="shared" ref="R73" si="28">IF(R61="","",IF(AND(R65=R66,R61="Front"),"",IF(R61="Front",R59-R72,(R59-R72)/(R66-1))))</f>
        <v/>
      </c>
      <c r="S73" s="36" t="str">
        <f t="shared" ref="S73" si="29">IF(S61="","",IF(AND(S65=S66,S61="Front"),"",IF(S61="Front",S59-S72,(S59-S72)/(S66-1))))</f>
        <v/>
      </c>
      <c r="T73" s="36" t="str">
        <f t="shared" ref="T73" si="30">IF(T61="","",IF(AND(T65=T66,T61="Front"),"",IF(T61="Front",T59-T72,(T59-T72)/(T66-1))))</f>
        <v/>
      </c>
      <c r="U73" s="36" t="str">
        <f t="shared" ref="U73" si="31">IF(U61="","",IF(AND(U65=U66,U61="Front"),"",IF(U61="Front",U59-U72,(U59-U72)/(U66-1))))</f>
        <v/>
      </c>
      <c r="V73" s="36" t="str">
        <f t="shared" ref="V73" si="32">IF(V61="","",IF(AND(V65=V66,V61="Front"),"",IF(V61="Front",V59-V72,(V59-V72)/(V66-1))))</f>
        <v/>
      </c>
      <c r="W73" s="36" t="str">
        <f t="shared" ref="W73" si="33">IF(W61="","",IF(AND(W65=W66,W61="Front"),"",IF(W61="Front",W59-W72,(W59-W72)/(W66-1))))</f>
        <v/>
      </c>
      <c r="X73" s="36" t="str">
        <f t="shared" ref="X73" si="34">IF(X61="","",IF(AND(X65=X66,X61="Front"),"",IF(X61="Front",X59-X72,(X59-X72)/(X66-1))))</f>
        <v/>
      </c>
      <c r="Y73" s="21"/>
    </row>
    <row r="74" spans="2:25" ht="14.25">
      <c r="B74" s="9"/>
      <c r="C74" s="31" t="s">
        <v>68</v>
      </c>
      <c r="D74" s="31" t="s">
        <v>90</v>
      </c>
      <c r="E74" s="36" t="str">
        <f t="shared" ref="E74:X74" si="35">IF(E$9="Front","",IF(E$14&lt;3,"",E$21))</f>
        <v/>
      </c>
      <c r="F74" s="36" t="str">
        <f t="shared" si="35"/>
        <v/>
      </c>
      <c r="G74" s="36" t="str">
        <f t="shared" si="35"/>
        <v/>
      </c>
      <c r="H74" s="36" t="str">
        <f t="shared" si="35"/>
        <v/>
      </c>
      <c r="I74" s="36" t="str">
        <f t="shared" si="35"/>
        <v/>
      </c>
      <c r="J74" s="36" t="str">
        <f t="shared" si="35"/>
        <v/>
      </c>
      <c r="K74" s="36" t="str">
        <f t="shared" si="35"/>
        <v/>
      </c>
      <c r="L74" s="36" t="str">
        <f t="shared" si="35"/>
        <v/>
      </c>
      <c r="M74" s="36" t="str">
        <f t="shared" si="35"/>
        <v/>
      </c>
      <c r="N74" s="36" t="str">
        <f t="shared" si="35"/>
        <v/>
      </c>
      <c r="O74" s="36" t="str">
        <f t="shared" si="35"/>
        <v/>
      </c>
      <c r="P74" s="36" t="str">
        <f t="shared" si="35"/>
        <v/>
      </c>
      <c r="Q74" s="36" t="str">
        <f t="shared" si="35"/>
        <v/>
      </c>
      <c r="R74" s="36" t="str">
        <f t="shared" si="35"/>
        <v/>
      </c>
      <c r="S74" s="36" t="str">
        <f t="shared" si="35"/>
        <v/>
      </c>
      <c r="T74" s="36" t="str">
        <f t="shared" si="35"/>
        <v/>
      </c>
      <c r="U74" s="36" t="str">
        <f t="shared" si="35"/>
        <v/>
      </c>
      <c r="V74" s="36" t="str">
        <f t="shared" si="35"/>
        <v/>
      </c>
      <c r="W74" s="36" t="str">
        <f t="shared" si="35"/>
        <v/>
      </c>
      <c r="X74" s="36" t="str">
        <f t="shared" si="35"/>
        <v/>
      </c>
      <c r="Y74" s="21"/>
    </row>
    <row r="75" spans="2:25" ht="14.25">
      <c r="B75" s="9"/>
      <c r="C75" s="31" t="s">
        <v>69</v>
      </c>
      <c r="D75" s="31" t="s">
        <v>91</v>
      </c>
      <c r="E75" s="36" t="str">
        <f>IF(E$9="Front","",IF(E$14&lt;4,"",E$21))</f>
        <v/>
      </c>
      <c r="F75" s="36" t="str">
        <f t="shared" ref="F75:X75" si="36">IF(F$9="Front","",IF(F$14&lt;4,"",F$21))</f>
        <v/>
      </c>
      <c r="G75" s="36" t="str">
        <f t="shared" si="36"/>
        <v/>
      </c>
      <c r="H75" s="36" t="str">
        <f t="shared" si="36"/>
        <v/>
      </c>
      <c r="I75" s="36" t="str">
        <f t="shared" si="36"/>
        <v/>
      </c>
      <c r="J75" s="36" t="str">
        <f t="shared" si="36"/>
        <v/>
      </c>
      <c r="K75" s="36" t="str">
        <f t="shared" si="36"/>
        <v/>
      </c>
      <c r="L75" s="36" t="str">
        <f t="shared" si="36"/>
        <v/>
      </c>
      <c r="M75" s="36" t="str">
        <f t="shared" si="36"/>
        <v/>
      </c>
      <c r="N75" s="36" t="str">
        <f t="shared" si="36"/>
        <v/>
      </c>
      <c r="O75" s="36" t="str">
        <f t="shared" si="36"/>
        <v/>
      </c>
      <c r="P75" s="36" t="str">
        <f t="shared" si="36"/>
        <v/>
      </c>
      <c r="Q75" s="36" t="str">
        <f t="shared" si="36"/>
        <v/>
      </c>
      <c r="R75" s="36" t="str">
        <f t="shared" si="36"/>
        <v/>
      </c>
      <c r="S75" s="36" t="str">
        <f t="shared" si="36"/>
        <v/>
      </c>
      <c r="T75" s="36" t="str">
        <f t="shared" si="36"/>
        <v/>
      </c>
      <c r="U75" s="36" t="str">
        <f t="shared" si="36"/>
        <v/>
      </c>
      <c r="V75" s="36" t="str">
        <f t="shared" si="36"/>
        <v/>
      </c>
      <c r="W75" s="36" t="str">
        <f t="shared" si="36"/>
        <v/>
      </c>
      <c r="X75" s="36" t="str">
        <f t="shared" si="36"/>
        <v/>
      </c>
      <c r="Y75" s="21"/>
    </row>
    <row r="76" spans="2:25" ht="14.25">
      <c r="B76" s="9"/>
      <c r="C76" s="31" t="s">
        <v>70</v>
      </c>
      <c r="D76" s="31" t="s">
        <v>92</v>
      </c>
      <c r="E76" s="36" t="str">
        <f>IF(E$9="Front","",IF(E$14&lt;5,"",E$21))</f>
        <v/>
      </c>
      <c r="F76" s="36" t="str">
        <f t="shared" ref="F76:X76" si="37">IF(F$9="Front","",IF(F$14&lt;5,"",F$21))</f>
        <v/>
      </c>
      <c r="G76" s="36" t="str">
        <f t="shared" si="37"/>
        <v/>
      </c>
      <c r="H76" s="36" t="str">
        <f t="shared" si="37"/>
        <v/>
      </c>
      <c r="I76" s="36" t="str">
        <f t="shared" si="37"/>
        <v/>
      </c>
      <c r="J76" s="36" t="str">
        <f t="shared" si="37"/>
        <v/>
      </c>
      <c r="K76" s="36" t="str">
        <f t="shared" si="37"/>
        <v/>
      </c>
      <c r="L76" s="36" t="str">
        <f t="shared" si="37"/>
        <v/>
      </c>
      <c r="M76" s="36" t="str">
        <f t="shared" si="37"/>
        <v/>
      </c>
      <c r="N76" s="36" t="str">
        <f t="shared" si="37"/>
        <v/>
      </c>
      <c r="O76" s="36" t="str">
        <f t="shared" si="37"/>
        <v/>
      </c>
      <c r="P76" s="36" t="str">
        <f t="shared" si="37"/>
        <v/>
      </c>
      <c r="Q76" s="36" t="str">
        <f t="shared" si="37"/>
        <v/>
      </c>
      <c r="R76" s="36" t="str">
        <f t="shared" si="37"/>
        <v/>
      </c>
      <c r="S76" s="36" t="str">
        <f t="shared" si="37"/>
        <v/>
      </c>
      <c r="T76" s="36" t="str">
        <f t="shared" si="37"/>
        <v/>
      </c>
      <c r="U76" s="36" t="str">
        <f t="shared" si="37"/>
        <v/>
      </c>
      <c r="V76" s="36" t="str">
        <f t="shared" si="37"/>
        <v/>
      </c>
      <c r="W76" s="36" t="str">
        <f t="shared" si="37"/>
        <v/>
      </c>
      <c r="X76" s="36" t="str">
        <f t="shared" si="37"/>
        <v/>
      </c>
      <c r="Y76" s="21"/>
    </row>
    <row r="77" spans="2:25" ht="14.25">
      <c r="B77" s="9"/>
      <c r="C77" s="31" t="s">
        <v>71</v>
      </c>
      <c r="D77" s="31" t="s">
        <v>93</v>
      </c>
      <c r="E77" s="36" t="str">
        <f>IF(E$9="Front","",IF(E$14&lt;6,"",E$21))</f>
        <v/>
      </c>
      <c r="F77" s="36" t="str">
        <f t="shared" ref="F77:X77" si="38">IF(F$9="Front","",IF(F$14&lt;6,"",F$21))</f>
        <v/>
      </c>
      <c r="G77" s="36" t="str">
        <f t="shared" si="38"/>
        <v/>
      </c>
      <c r="H77" s="36" t="str">
        <f t="shared" si="38"/>
        <v/>
      </c>
      <c r="I77" s="36" t="str">
        <f t="shared" si="38"/>
        <v/>
      </c>
      <c r="J77" s="36" t="str">
        <f t="shared" si="38"/>
        <v/>
      </c>
      <c r="K77" s="36" t="str">
        <f t="shared" si="38"/>
        <v/>
      </c>
      <c r="L77" s="36" t="str">
        <f t="shared" si="38"/>
        <v/>
      </c>
      <c r="M77" s="36" t="str">
        <f t="shared" si="38"/>
        <v/>
      </c>
      <c r="N77" s="36" t="str">
        <f t="shared" si="38"/>
        <v/>
      </c>
      <c r="O77" s="36" t="str">
        <f t="shared" si="38"/>
        <v/>
      </c>
      <c r="P77" s="36" t="str">
        <f t="shared" si="38"/>
        <v/>
      </c>
      <c r="Q77" s="36" t="str">
        <f t="shared" si="38"/>
        <v/>
      </c>
      <c r="R77" s="36" t="str">
        <f t="shared" si="38"/>
        <v/>
      </c>
      <c r="S77" s="36" t="str">
        <f t="shared" si="38"/>
        <v/>
      </c>
      <c r="T77" s="36" t="str">
        <f t="shared" si="38"/>
        <v/>
      </c>
      <c r="U77" s="36" t="str">
        <f t="shared" si="38"/>
        <v/>
      </c>
      <c r="V77" s="36" t="str">
        <f t="shared" si="38"/>
        <v/>
      </c>
      <c r="W77" s="36" t="str">
        <f t="shared" si="38"/>
        <v/>
      </c>
      <c r="X77" s="36" t="str">
        <f t="shared" si="38"/>
        <v/>
      </c>
      <c r="Y77" s="21"/>
    </row>
    <row r="78" spans="2:25">
      <c r="B78" s="9"/>
      <c r="C78" s="31"/>
      <c r="D78" s="31"/>
      <c r="E78" s="35"/>
      <c r="F78" s="35"/>
      <c r="G78" s="35"/>
      <c r="H78" s="35"/>
      <c r="I78" s="35"/>
      <c r="J78" s="35"/>
      <c r="K78" s="35"/>
      <c r="L78" s="35"/>
      <c r="M78" s="35"/>
      <c r="N78" s="35"/>
      <c r="O78" s="35"/>
      <c r="P78" s="35"/>
      <c r="Q78" s="35"/>
      <c r="R78" s="35"/>
      <c r="S78" s="35"/>
      <c r="T78" s="35"/>
      <c r="U78" s="35"/>
      <c r="V78" s="35"/>
      <c r="W78" s="35"/>
      <c r="X78" s="35"/>
      <c r="Y78" s="21"/>
    </row>
    <row r="79" spans="2:25" ht="14.25">
      <c r="B79" s="9"/>
      <c r="C79" s="31" t="s">
        <v>60</v>
      </c>
      <c r="D79" s="31" t="s">
        <v>94</v>
      </c>
      <c r="E79" s="36">
        <f>IF(E61="","",E60*IF(E66&gt;E65,0,IF(E66=1,1,IF(E66=2,0.25,(1-VLOOKUP(E66,Lookup!$G$11:$I$15,3,FALSE))/(E66-1)))))</f>
        <v>0</v>
      </c>
      <c r="F79" s="36">
        <f>IF(F61="","",F60*IF(F66&gt;F65,0,IF(F66=1,1,IF(F66=2,0.25,1-VLOOKUP(F66,Lookup!$G$11:$I$15,3,FALSE)))))</f>
        <v>0</v>
      </c>
      <c r="G79" s="36">
        <f>IF(G61="","",G60*IF(G66&gt;G65,0,IF(G66=1,1,IF(G66=2,0.25,1-VLOOKUP(G66,Lookup!$G$11:$I$15,3,FALSE)))))</f>
        <v>0</v>
      </c>
      <c r="H79" s="36">
        <f>IF(H61="","",H60*IF(H66&gt;H65,0,IF(H66=1,1,IF(H66=2,0.25,1-VLOOKUP(H66,Lookup!$G$11:$I$15,3,FALSE)))))</f>
        <v>0</v>
      </c>
      <c r="I79" s="36">
        <f>IF(I61="","",I60*IF(I66&gt;I65,0,IF(I66=1,1,IF(I66=2,0.25,1-VLOOKUP(I66,Lookup!$G$11:$I$15,3,FALSE)))))</f>
        <v>0</v>
      </c>
      <c r="J79" s="36">
        <f>IF(J61="","",J60*IF(J66&gt;J65,0,IF(J66=1,1,IF(J66=2,0.25,1-VLOOKUP(J66,Lookup!$G$11:$I$15,3,FALSE)))))</f>
        <v>0</v>
      </c>
      <c r="K79" s="36">
        <f>IF(K61="","",K60*IF(K66&gt;K65,0,IF(K66=1,1,IF(K66=2,0.25,1-VLOOKUP(K66,Lookup!$G$11:$I$15,3,FALSE)))))</f>
        <v>0</v>
      </c>
      <c r="L79" s="36">
        <f>IF(L61="","",L60*IF(L66&gt;L65,0,IF(L66=1,1,IF(L66=2,0.25,1-VLOOKUP(L66,Lookup!$G$11:$I$15,3,FALSE)))))</f>
        <v>0</v>
      </c>
      <c r="M79" s="36" t="str">
        <f>IF(M61="","",M60*IF(M66&gt;M65,0,IF(M66=1,1,IF(M66=2,0.25,1-VLOOKUP(M66,Lookup!$G$11:$I$15,3,FALSE)))))</f>
        <v/>
      </c>
      <c r="N79" s="36" t="str">
        <f>IF(N61="","",N60*IF(N66&gt;N65,0,IF(N66=1,1,IF(N66=2,0.25,1-VLOOKUP(N66,Lookup!$G$11:$I$15,3,FALSE)))))</f>
        <v/>
      </c>
      <c r="O79" s="36" t="str">
        <f>IF(O61="","",O60*IF(O66&gt;O65,0,IF(O66=1,1,IF(O66=2,0.25,1-VLOOKUP(O66,Lookup!$G$11:$I$15,3,FALSE)))))</f>
        <v/>
      </c>
      <c r="P79" s="36" t="str">
        <f>IF(P61="","",P60*IF(P66&gt;P65,0,IF(P66=1,1,IF(P66=2,0.25,1-VLOOKUP(P66,Lookup!$G$11:$I$15,3,FALSE)))))</f>
        <v/>
      </c>
      <c r="Q79" s="36" t="str">
        <f>IF(Q61="","",Q60*IF(Q66&gt;Q65,0,IF(Q66=1,1,IF(Q66=2,0.25,1-VLOOKUP(Q66,Lookup!$G$11:$I$15,3,FALSE)))))</f>
        <v/>
      </c>
      <c r="R79" s="36" t="str">
        <f>IF(R61="","",R60*IF(R66&gt;R65,0,IF(R66=1,1,IF(R66=2,0.25,1-VLOOKUP(R66,Lookup!$G$11:$I$15,3,FALSE)))))</f>
        <v/>
      </c>
      <c r="S79" s="36" t="str">
        <f>IF(S61="","",S60*IF(S66&gt;S65,0,IF(S66=1,1,IF(S66=2,0.25,1-VLOOKUP(S66,Lookup!$G$11:$I$15,3,FALSE)))))</f>
        <v/>
      </c>
      <c r="T79" s="36" t="str">
        <f>IF(T61="","",T60*IF(T66&gt;T65,0,IF(T66=1,1,IF(T66=2,0.25,1-VLOOKUP(T66,Lookup!$G$11:$I$15,3,FALSE)))))</f>
        <v/>
      </c>
      <c r="U79" s="36" t="str">
        <f>IF(U61="","",U60*IF(U66&gt;U65,0,IF(U66=1,1,IF(U66=2,0.25,1-VLOOKUP(U66,Lookup!$G$11:$I$15,3,FALSE)))))</f>
        <v/>
      </c>
      <c r="V79" s="36" t="str">
        <f>IF(V61="","",V60*IF(V66&gt;V65,0,IF(V66=1,1,IF(V66=2,0.25,1-VLOOKUP(V66,Lookup!$G$11:$I$15,3,FALSE)))))</f>
        <v/>
      </c>
      <c r="W79" s="36" t="str">
        <f>IF(W61="","",W60*IF(W66&gt;W65,0,IF(W66=1,1,IF(W66=2,0.25,1-VLOOKUP(W66,Lookup!$G$11:$I$15,3,FALSE)))))</f>
        <v/>
      </c>
      <c r="X79" s="36" t="str">
        <f>IF(X61="","",X60*IF(X66&gt;X65,0,IF(X66=1,1,IF(X66=2,0.25,1-VLOOKUP(X66,Lookup!$G$11:$I$15,3,FALSE)))))</f>
        <v/>
      </c>
      <c r="Y79" s="21"/>
    </row>
    <row r="80" spans="2:25" ht="14.25">
      <c r="B80" s="9"/>
      <c r="C80" s="31" t="s">
        <v>61</v>
      </c>
      <c r="D80" s="31" t="s">
        <v>95</v>
      </c>
      <c r="E80" s="36">
        <f>IF(OR(E61="",E66=1),"",E60*IF(E65=1,1,IF(AND(E65=2,E66=3),0.25,(1-VLOOKUP(E66,Lookup!$G$11:$I$15,3,FALSE))/(E66-2))))</f>
        <v>0.5</v>
      </c>
      <c r="F80" s="36">
        <f>IF(OR(F61="",F66=1),"",F60*IF(F65=1,1,IF(AND(F65=2,F66=3),0.25,(1-VLOOKUP(F66,Lookup!$G$11:$I$15,3,FALSE))/(F66-2))))</f>
        <v>1</v>
      </c>
      <c r="G80" s="36">
        <f>IF(OR(G61="",G66=1),"",G60*IF(G65=1,1,IF(AND(G65=2,G66=3),0.25,(1-VLOOKUP(G66,Lookup!$G$11:$I$15,3,FALSE))/(G66-2))))</f>
        <v>1.5</v>
      </c>
      <c r="H80" s="36">
        <f>IF(OR(H61="",H66=1),"",H60*IF(H65=1,1,IF(AND(H65=2,H66=3),0.25,(1-VLOOKUP(H66,Lookup!$G$11:$I$15,3,FALSE))/(H66-2))))</f>
        <v>1.5</v>
      </c>
      <c r="I80" s="36">
        <f>IF(OR(I61="",I66=1),"",I60*IF(I65=1,1,IF(AND(I65=2,I66=3),0.25,(1-VLOOKUP(I66,Lookup!$G$11:$I$15,3,FALSE))/(I66-2))))</f>
        <v>2</v>
      </c>
      <c r="J80" s="36">
        <f>IF(OR(J61="",J66=1),"",J60*IF(J65=1,1,IF(AND(J65=2,J66=3),0.25,(1-VLOOKUP(J66,Lookup!$G$11:$I$15,3,FALSE))/(J66-2))))</f>
        <v>1</v>
      </c>
      <c r="K80" s="36">
        <f>IF(OR(K61="",K66=1),"",K60*IF(K65=1,1,IF(AND(K65=2,K66=3),0.25,(1-VLOOKUP(K66,Lookup!$G$11:$I$15,3,FALSE))/(K66-2))))</f>
        <v>0.5</v>
      </c>
      <c r="L80" s="36">
        <f>IF(OR(L61="",L66=1),"",L60*IF(L65=1,1,IF(AND(L65=2,L66=3),0.25,(1-VLOOKUP(L66,Lookup!$G$11:$I$15,3,FALSE))/(L66-2))))</f>
        <v>0</v>
      </c>
      <c r="M80" s="36" t="str">
        <f>IF(OR(M61="",M66=1),"",M60*IF(M65=1,1,IF(AND(M65=2,M66=3),0.25,(1-VLOOKUP(M66,Lookup!$G$11:$I$15,3,FALSE))/(M66-2))))</f>
        <v/>
      </c>
      <c r="N80" s="36" t="str">
        <f>IF(OR(N61="",N66=1),"",N60*IF(N65=1,1,IF(AND(N65=2,N66=3),0.25,(1-VLOOKUP(N66,Lookup!$G$11:$I$15,3,FALSE))/(N66-2))))</f>
        <v/>
      </c>
      <c r="O80" s="36" t="str">
        <f>IF(OR(O61="",O66=1),"",O60*IF(O65=1,1,IF(AND(O65=2,O66=3),0.25,(1-VLOOKUP(O66,Lookup!$G$11:$I$15,3,FALSE))/(O66-2))))</f>
        <v/>
      </c>
      <c r="P80" s="36" t="str">
        <f>IF(OR(P61="",P66=1),"",P60*IF(P65=1,1,IF(AND(P65=2,P66=3),0.25,(1-VLOOKUP(P66,Lookup!$G$11:$I$15,3,FALSE))/(P66-2))))</f>
        <v/>
      </c>
      <c r="Q80" s="36" t="str">
        <f>IF(OR(Q61="",Q66=1),"",Q60*IF(Q65=1,1,IF(AND(Q65=2,Q66=3),0.25,(1-VLOOKUP(Q66,Lookup!$G$11:$I$15,3,FALSE))/(Q66-2))))</f>
        <v/>
      </c>
      <c r="R80" s="36" t="str">
        <f>IF(OR(R61="",R66=1),"",R60*IF(R65=1,1,IF(AND(R65=2,R66=3),0.25,(1-VLOOKUP(R66,Lookup!$G$11:$I$15,3,FALSE))/(R66-2))))</f>
        <v/>
      </c>
      <c r="S80" s="36" t="str">
        <f>IF(OR(S61="",S66=1),"",S60*IF(S65=1,1,IF(AND(S65=2,S66=3),0.25,(1-VLOOKUP(S66,Lookup!$G$11:$I$15,3,FALSE))/(S66-2))))</f>
        <v/>
      </c>
      <c r="T80" s="36" t="str">
        <f>IF(OR(T61="",T66=1),"",T60*IF(T65=1,1,IF(AND(T65=2,T66=3),0.25,(1-VLOOKUP(T66,Lookup!$G$11:$I$15,3,FALSE))/(T66-2))))</f>
        <v/>
      </c>
      <c r="U80" s="36" t="str">
        <f>IF(OR(U61="",U66=1),"",U60*IF(U65=1,1,IF(AND(U65=2,U66=3),0.25,(1-VLOOKUP(U66,Lookup!$G$11:$I$15,3,FALSE))/(U66-2))))</f>
        <v/>
      </c>
      <c r="V80" s="36" t="str">
        <f>IF(OR(V61="",V66=1),"",V60*IF(V65=1,1,IF(AND(V65=2,V66=3),0.25,(1-VLOOKUP(V66,Lookup!$G$11:$I$15,3,FALSE))/(V66-2))))</f>
        <v/>
      </c>
      <c r="W80" s="36" t="str">
        <f>IF(OR(W61="",W66=1),"",W60*IF(W65=1,1,IF(AND(W65=2,W66=3),0.25,(1-VLOOKUP(W66,Lookup!$G$11:$I$15,3,FALSE))/(W66-2))))</f>
        <v/>
      </c>
      <c r="X80" s="36" t="str">
        <f>IF(OR(X61="",X66=1),"",X60*IF(X65=1,1,IF(AND(X65=2,X66=3),0.25,(1-VLOOKUP(X66,Lookup!$G$11:$I$15,3,FALSE))/(X66-2))))</f>
        <v/>
      </c>
      <c r="Y80" s="21"/>
    </row>
    <row r="81" spans="2:25" ht="15" thickBot="1">
      <c r="B81" s="22"/>
      <c r="C81" s="31" t="s">
        <v>62</v>
      </c>
      <c r="D81" s="31" t="s">
        <v>96</v>
      </c>
      <c r="E81" s="36">
        <f>IF(OR(E61="",E66&lt;3),"",E60*IF(AND(E65=2,E66=3),0.75,VLOOKUP(E66,Lookup!$G$11:$I$15,3,FALSE)))</f>
        <v>1.5</v>
      </c>
      <c r="F81" s="36">
        <f>IF(OR(F61="",F66&lt;3),"",F60*IF(AND(F65=2,F66=3),0.75,VLOOKUP(F66,Lookup!$G$11:$I$15,3,FALSE)))</f>
        <v>3</v>
      </c>
      <c r="G81" s="36">
        <f>IF(OR(G61="",G66&lt;3),"",G60*IF(AND(G65=2,G66=3),0.75,VLOOKUP(G66,Lookup!$G$11:$I$15,3,FALSE)))</f>
        <v>4.5</v>
      </c>
      <c r="H81" s="36">
        <f>IF(OR(H61="",H66&lt;3),"",H60*IF(AND(H65=2,H66=3),0.75,VLOOKUP(H66,Lookup!$G$11:$I$15,3,FALSE)))</f>
        <v>4.5</v>
      </c>
      <c r="I81" s="36">
        <f>IF(OR(I61="",I66&lt;3),"",I60*IF(AND(I65=2,I66=3),0.75,VLOOKUP(I66,Lookup!$G$11:$I$15,3,FALSE)))</f>
        <v>6</v>
      </c>
      <c r="J81" s="36">
        <f>IF(OR(J61="",J66&lt;3),"",J60*IF(AND(J65=2,J66=3),0.75,VLOOKUP(J66,Lookup!$G$11:$I$15,3,FALSE)))</f>
        <v>3</v>
      </c>
      <c r="K81" s="36">
        <f>IF(OR(K61="",K66&lt;3),"",K60*IF(AND(K65=2,K66=3),0.75,VLOOKUP(K66,Lookup!$G$11:$I$15,3,FALSE)))</f>
        <v>1.5</v>
      </c>
      <c r="L81" s="36">
        <f>IF(OR(L61="",L66&lt;3),"",L60*IF(AND(L65=2,L66=3),0.75,VLOOKUP(L66,Lookup!$G$11:$I$15,3,FALSE)))</f>
        <v>0</v>
      </c>
      <c r="M81" s="36" t="str">
        <f>IF(OR(M61="",M66&lt;3),"",M60*IF(AND(M65=2,M66=3),0.75,VLOOKUP(M66,Lookup!$G$11:$I$15,3,FALSE)))</f>
        <v/>
      </c>
      <c r="N81" s="36" t="str">
        <f>IF(OR(N61="",N66&lt;3),"",N60*IF(AND(N65=2,N66=3),0.75,VLOOKUP(N66,Lookup!$G$11:$I$15,3,FALSE)))</f>
        <v/>
      </c>
      <c r="O81" s="36" t="str">
        <f>IF(OR(O61="",O66&lt;3),"",O60*IF(AND(O65=2,O66=3),0.75,VLOOKUP(O66,Lookup!$G$11:$I$15,3,FALSE)))</f>
        <v/>
      </c>
      <c r="P81" s="36" t="str">
        <f>IF(OR(P61="",P66&lt;3),"",P60*IF(AND(P65=2,P66=3),0.75,VLOOKUP(P66,Lookup!$G$11:$I$15,3,FALSE)))</f>
        <v/>
      </c>
      <c r="Q81" s="36" t="str">
        <f>IF(OR(Q61="",Q66&lt;3),"",Q60*IF(AND(Q65=2,Q66=3),0.75,VLOOKUP(Q66,Lookup!$G$11:$I$15,3,FALSE)))</f>
        <v/>
      </c>
      <c r="R81" s="36" t="str">
        <f>IF(OR(R61="",R66&lt;3),"",R60*IF(AND(R65=2,R66=3),0.75,VLOOKUP(R66,Lookup!$G$11:$I$15,3,FALSE)))</f>
        <v/>
      </c>
      <c r="S81" s="36" t="str">
        <f>IF(OR(S61="",S66&lt;3),"",S60*IF(AND(S65=2,S66=3),0.75,VLOOKUP(S66,Lookup!$G$11:$I$15,3,FALSE)))</f>
        <v/>
      </c>
      <c r="T81" s="36" t="str">
        <f>IF(OR(T61="",T66&lt;3),"",T60*IF(AND(T65=2,T66=3),0.75,VLOOKUP(T66,Lookup!$G$11:$I$15,3,FALSE)))</f>
        <v/>
      </c>
      <c r="U81" s="36" t="str">
        <f>IF(OR(U61="",U66&lt;3),"",U60*IF(AND(U65=2,U66=3),0.75,VLOOKUP(U66,Lookup!$G$11:$I$15,3,FALSE)))</f>
        <v/>
      </c>
      <c r="V81" s="36" t="str">
        <f>IF(OR(V61="",V66&lt;3),"",V60*IF(AND(V65=2,V66=3),0.75,VLOOKUP(V66,Lookup!$G$11:$I$15,3,FALSE)))</f>
        <v/>
      </c>
      <c r="W81" s="36" t="str">
        <f>IF(OR(W61="",W66&lt;3),"",W60*IF(AND(W65=2,W66=3),0.75,VLOOKUP(W66,Lookup!$G$11:$I$15,3,FALSE)))</f>
        <v/>
      </c>
      <c r="X81" s="36" t="str">
        <f>IF(OR(X61="",X66&lt;3),"",X60*IF(AND(X65=2,X66=3),0.75,VLOOKUP(X66,Lookup!$G$11:$I$15,3,FALSE)))</f>
        <v/>
      </c>
      <c r="Y81" s="24"/>
    </row>
    <row r="82" spans="2:25" ht="14.25">
      <c r="B82" s="9"/>
      <c r="C82" s="31" t="s">
        <v>63</v>
      </c>
      <c r="D82" s="31" t="s">
        <v>97</v>
      </c>
      <c r="E82" s="36" t="str">
        <f>IF(OR(E61="",E66&lt;4),"",(E60-SUM(E79:E81))/(E66-2))</f>
        <v/>
      </c>
      <c r="F82" s="36" t="str">
        <f t="shared" ref="F82" si="39">IF(OR(F61="",F66&lt;4),"",(F60-SUM(F79:F81))/(F66-2))</f>
        <v/>
      </c>
      <c r="G82" s="36" t="str">
        <f t="shared" ref="G82" si="40">IF(OR(G61="",G66&lt;4),"",(G60-SUM(G79:G81))/(G66-2))</f>
        <v/>
      </c>
      <c r="H82" s="36" t="str">
        <f t="shared" ref="H82" si="41">IF(OR(H61="",H66&lt;4),"",(H60-SUM(H79:H81))/(H66-2))</f>
        <v/>
      </c>
      <c r="I82" s="36" t="str">
        <f t="shared" ref="I82" si="42">IF(OR(I61="",I66&lt;4),"",(I60-SUM(I79:I81))/(I66-2))</f>
        <v/>
      </c>
      <c r="J82" s="36" t="str">
        <f t="shared" ref="J82" si="43">IF(OR(J61="",J66&lt;4),"",(J60-SUM(J79:J81))/(J66-2))</f>
        <v/>
      </c>
      <c r="K82" s="36" t="str">
        <f t="shared" ref="K82" si="44">IF(OR(K61="",K66&lt;4),"",(K60-SUM(K79:K81))/(K66-2))</f>
        <v/>
      </c>
      <c r="L82" s="36" t="str">
        <f t="shared" ref="L82" si="45">IF(OR(L61="",L66&lt;4),"",(L60-SUM(L79:L81))/(L66-2))</f>
        <v/>
      </c>
      <c r="M82" s="36" t="str">
        <f t="shared" ref="M82" si="46">IF(OR(M61="",M66&lt;4),"",(M60-SUM(M79:M81))/(M66-2))</f>
        <v/>
      </c>
      <c r="N82" s="36" t="str">
        <f t="shared" ref="N82" si="47">IF(OR(N61="",N66&lt;4),"",(N60-SUM(N79:N81))/(N66-2))</f>
        <v/>
      </c>
      <c r="O82" s="36" t="str">
        <f t="shared" ref="O82" si="48">IF(OR(O61="",O66&lt;4),"",(O60-SUM(O79:O81))/(O66-2))</f>
        <v/>
      </c>
      <c r="P82" s="36" t="str">
        <f t="shared" ref="P82" si="49">IF(OR(P61="",P66&lt;4),"",(P60-SUM(P79:P81))/(P66-2))</f>
        <v/>
      </c>
      <c r="Q82" s="36" t="str">
        <f t="shared" ref="Q82" si="50">IF(OR(Q61="",Q66&lt;4),"",(Q60-SUM(Q79:Q81))/(Q66-2))</f>
        <v/>
      </c>
      <c r="R82" s="36" t="str">
        <f t="shared" ref="R82" si="51">IF(OR(R61="",R66&lt;4),"",(R60-SUM(R79:R81))/(R66-2))</f>
        <v/>
      </c>
      <c r="S82" s="36" t="str">
        <f t="shared" ref="S82" si="52">IF(OR(S61="",S66&lt;4),"",(S60-SUM(S79:S81))/(S66-2))</f>
        <v/>
      </c>
      <c r="T82" s="36" t="str">
        <f t="shared" ref="T82" si="53">IF(OR(T61="",T66&lt;4),"",(T60-SUM(T79:T81))/(T66-2))</f>
        <v/>
      </c>
      <c r="U82" s="36" t="str">
        <f t="shared" ref="U82" si="54">IF(OR(U61="",U66&lt;4),"",(U60-SUM(U79:U81))/(U66-2))</f>
        <v/>
      </c>
      <c r="V82" s="36" t="str">
        <f t="shared" ref="V82" si="55">IF(OR(V61="",V66&lt;4),"",(V60-SUM(V79:V81))/(V66-2))</f>
        <v/>
      </c>
      <c r="W82" s="36" t="str">
        <f t="shared" ref="W82" si="56">IF(OR(W61="",W66&lt;4),"",(W60-SUM(W79:W81))/(W66-2))</f>
        <v/>
      </c>
      <c r="X82" s="36" t="str">
        <f t="shared" ref="X82" si="57">IF(OR(X61="",X66&lt;4),"",(X60-SUM(X79:X81))/(X66-2))</f>
        <v/>
      </c>
      <c r="Y82" s="21"/>
    </row>
    <row r="83" spans="2:25" ht="14.25">
      <c r="B83" s="9"/>
      <c r="C83" s="31" t="s">
        <v>64</v>
      </c>
      <c r="D83" s="31" t="s">
        <v>98</v>
      </c>
      <c r="E83" s="36" t="str">
        <f>IF(OR(E61="",E66&lt;5),"",(E60-SUM(E79:E81))/(E66-2))</f>
        <v/>
      </c>
      <c r="F83" s="36" t="str">
        <f t="shared" ref="F83:X83" si="58">IF(OR(F61="",F66&lt;5),"",(F60-SUM(F79:F81))/(F66-2))</f>
        <v/>
      </c>
      <c r="G83" s="36" t="str">
        <f t="shared" si="58"/>
        <v/>
      </c>
      <c r="H83" s="36" t="str">
        <f t="shared" si="58"/>
        <v/>
      </c>
      <c r="I83" s="36" t="str">
        <f t="shared" si="58"/>
        <v/>
      </c>
      <c r="J83" s="36" t="str">
        <f t="shared" si="58"/>
        <v/>
      </c>
      <c r="K83" s="36" t="str">
        <f t="shared" si="58"/>
        <v/>
      </c>
      <c r="L83" s="36" t="str">
        <f t="shared" si="58"/>
        <v/>
      </c>
      <c r="M83" s="36" t="str">
        <f t="shared" si="58"/>
        <v/>
      </c>
      <c r="N83" s="36" t="str">
        <f t="shared" si="58"/>
        <v/>
      </c>
      <c r="O83" s="36" t="str">
        <f t="shared" si="58"/>
        <v/>
      </c>
      <c r="P83" s="36" t="str">
        <f t="shared" si="58"/>
        <v/>
      </c>
      <c r="Q83" s="36" t="str">
        <f t="shared" si="58"/>
        <v/>
      </c>
      <c r="R83" s="36" t="str">
        <f t="shared" si="58"/>
        <v/>
      </c>
      <c r="S83" s="36" t="str">
        <f t="shared" si="58"/>
        <v/>
      </c>
      <c r="T83" s="36" t="str">
        <f t="shared" si="58"/>
        <v/>
      </c>
      <c r="U83" s="36" t="str">
        <f t="shared" si="58"/>
        <v/>
      </c>
      <c r="V83" s="36" t="str">
        <f t="shared" si="58"/>
        <v/>
      </c>
      <c r="W83" s="36" t="str">
        <f t="shared" si="58"/>
        <v/>
      </c>
      <c r="X83" s="36" t="str">
        <f t="shared" si="58"/>
        <v/>
      </c>
      <c r="Y83" s="21"/>
    </row>
    <row r="84" spans="2:25" ht="14.25">
      <c r="B84" s="9"/>
      <c r="C84" s="31" t="s">
        <v>65</v>
      </c>
      <c r="D84" s="31" t="s">
        <v>99</v>
      </c>
      <c r="E84" s="36" t="str">
        <f>IF(OR(E61="",E66&lt;6),"",(E60-SUM(E79:E81))/(E66-2))</f>
        <v/>
      </c>
      <c r="F84" s="36" t="str">
        <f t="shared" ref="F84:X84" si="59">IF(OR(F61="",F66&lt;6),"",(F60-SUM(F79:F81))/(F66-2))</f>
        <v/>
      </c>
      <c r="G84" s="36" t="str">
        <f t="shared" si="59"/>
        <v/>
      </c>
      <c r="H84" s="36" t="str">
        <f t="shared" si="59"/>
        <v/>
      </c>
      <c r="I84" s="36" t="str">
        <f t="shared" si="59"/>
        <v/>
      </c>
      <c r="J84" s="36" t="str">
        <f t="shared" si="59"/>
        <v/>
      </c>
      <c r="K84" s="36" t="str">
        <f t="shared" si="59"/>
        <v/>
      </c>
      <c r="L84" s="36" t="str">
        <f t="shared" si="59"/>
        <v/>
      </c>
      <c r="M84" s="36" t="str">
        <f t="shared" si="59"/>
        <v/>
      </c>
      <c r="N84" s="36" t="str">
        <f t="shared" si="59"/>
        <v/>
      </c>
      <c r="O84" s="36" t="str">
        <f t="shared" si="59"/>
        <v/>
      </c>
      <c r="P84" s="36" t="str">
        <f t="shared" si="59"/>
        <v/>
      </c>
      <c r="Q84" s="36" t="str">
        <f t="shared" si="59"/>
        <v/>
      </c>
      <c r="R84" s="36" t="str">
        <f t="shared" si="59"/>
        <v/>
      </c>
      <c r="S84" s="36" t="str">
        <f t="shared" si="59"/>
        <v/>
      </c>
      <c r="T84" s="36" t="str">
        <f t="shared" si="59"/>
        <v/>
      </c>
      <c r="U84" s="36" t="str">
        <f t="shared" si="59"/>
        <v/>
      </c>
      <c r="V84" s="36" t="str">
        <f t="shared" si="59"/>
        <v/>
      </c>
      <c r="W84" s="36" t="str">
        <f t="shared" si="59"/>
        <v/>
      </c>
      <c r="X84" s="36" t="str">
        <f t="shared" si="59"/>
        <v/>
      </c>
      <c r="Y84" s="21"/>
    </row>
    <row r="85" spans="2:25">
      <c r="B85" s="9"/>
      <c r="C85" s="31"/>
      <c r="D85" s="31"/>
      <c r="E85" s="36"/>
      <c r="F85" s="36"/>
      <c r="G85" s="36"/>
      <c r="H85" s="36"/>
      <c r="I85" s="36"/>
      <c r="J85" s="36"/>
      <c r="K85" s="36"/>
      <c r="L85" s="36"/>
      <c r="M85" s="36"/>
      <c r="N85" s="36"/>
      <c r="O85" s="36"/>
      <c r="P85" s="36"/>
      <c r="Q85" s="36"/>
      <c r="R85" s="36"/>
      <c r="S85" s="36"/>
      <c r="T85" s="36"/>
      <c r="U85" s="36"/>
      <c r="V85" s="36"/>
      <c r="W85" s="36"/>
      <c r="X85" s="36"/>
      <c r="Y85" s="21"/>
    </row>
    <row r="86" spans="2:25" ht="14.25">
      <c r="B86" s="9"/>
      <c r="C86" s="31" t="s">
        <v>73</v>
      </c>
      <c r="D86" s="31" t="s">
        <v>234</v>
      </c>
      <c r="E86" s="45">
        <f>IF(E61="","",IF(E79*3&gt;E72,1.2,1)*(0.5*(E63="Stairs")+1*(E63="Steep stairs")+0.5*(E64="Yes")+VLOOKUP(E62,'Default Values'!$B$5:$C$12,2,FALSE)))</f>
        <v>4.5</v>
      </c>
      <c r="F86" s="45">
        <f>IF(F61="","",IF(F79*3&gt;F72,1.2,1)*(0.5*(F63="Stairs")+1*(F63="Steep stairs")+0.5*(F64="Yes")+IF(F61="Pay on exit",1.75,VLOOKUP(F62,'Default Values'!$B$5:$C$12,2,FALSE))))</f>
        <v>4.5</v>
      </c>
      <c r="G86" s="45">
        <f>IF(G61="","",IF(G79*3&gt;G72,1.2,1)*(0.5*(G63="Stairs")+1*(G63="Steep stairs")+0.5*(G64="Yes")+IF(G61="Pay on exit",1.75,VLOOKUP(G62,'Default Values'!$B$5:$C$12,2,FALSE))))</f>
        <v>4.5</v>
      </c>
      <c r="H86" s="45">
        <f>IF(H61="","",IF(H79*3&gt;H72,1.2,1)*(0.5*(H63="Stairs")+1*(H63="Steep stairs")+0.5*(H64="Yes")+IF(H61="Pay on exit",1.75,VLOOKUP(H62,'Default Values'!$B$5:$C$12,2,FALSE))))</f>
        <v>4.5</v>
      </c>
      <c r="I86" s="45">
        <f>IF(I61="","",IF(I79*3&gt;I72,1.2,1)*(0.5*(I63="Stairs")+1*(I63="Steep stairs")+0.5*(I64="Yes")+IF(I61="Pay on exit",1.75,VLOOKUP(I62,'Default Values'!$B$5:$C$12,2,FALSE))))</f>
        <v>4.5</v>
      </c>
      <c r="J86" s="45">
        <f>IF(J61="","",IF(J79*3&gt;J72,1.2,1)*(0.5*(J63="Stairs")+1*(J63="Steep stairs")+0.5*(J64="Yes")+IF(J61="Pay on exit",1.75,VLOOKUP(J62,'Default Values'!$B$5:$C$12,2,FALSE))))</f>
        <v>4.5</v>
      </c>
      <c r="K86" s="45">
        <f>IF(K61="","",IF(K79*3&gt;K72,1.2,1)*(0.5*(K63="Stairs")+1*(K63="Steep stairs")+0.5*(K64="Yes")+IF(K61="Pay on exit",1.75,VLOOKUP(K62,'Default Values'!$B$5:$C$12,2,FALSE))))</f>
        <v>4.5</v>
      </c>
      <c r="L86" s="45">
        <f>IF(L61="","",IF(L79*3&gt;L72,1.2,1)*(0.5*(L63="Stairs")+1*(L63="Steep stairs")+0.5*(L64="Yes")+IF(L61="Pay on exit",1.75,VLOOKUP(L62,'Default Values'!$B$5:$C$12,2,FALSE))))</f>
        <v>4.5</v>
      </c>
      <c r="M86" s="45" t="str">
        <f>IF(M61="","",IF(M79*3&gt;M72,1.2,1)*(0.5*(M63="Stairs")+1*(M63="Steep stairs")+0.5*(M64="Yes")+IF(M61="Pay on exit",1.75,VLOOKUP(M62,'Default Values'!$B$5:$C$12,2,FALSE))))</f>
        <v/>
      </c>
      <c r="N86" s="45" t="str">
        <f>IF(N61="","",IF(N79*3&gt;N72,1.2,1)*(0.5*(N63="Stairs")+1*(N63="Steep stairs")+0.5*(N64="Yes")+IF(N61="Pay on exit",1.75,VLOOKUP(N62,'Default Values'!$B$5:$C$12,2,FALSE))))</f>
        <v/>
      </c>
      <c r="O86" s="45" t="str">
        <f>IF(O61="","",IF(O79*3&gt;O72,1.2,1)*(0.5*(O63="Stairs")+1*(O63="Steep stairs")+0.5*(O64="Yes")+IF(O61="Pay on exit",1.75,VLOOKUP(O62,'Default Values'!$B$5:$C$12,2,FALSE))))</f>
        <v/>
      </c>
      <c r="P86" s="45" t="str">
        <f>IF(P61="","",IF(P79*3&gt;P72,1.2,1)*(0.5*(P63="Stairs")+1*(P63="Steep stairs")+0.5*(P64="Yes")+IF(P61="Pay on exit",1.75,VLOOKUP(P62,'Default Values'!$B$5:$C$12,2,FALSE))))</f>
        <v/>
      </c>
      <c r="Q86" s="45" t="str">
        <f>IF(Q61="","",IF(Q79*3&gt;Q72,1.2,1)*(0.5*(Q63="Stairs")+1*(Q63="Steep stairs")+0.5*(Q64="Yes")+IF(Q61="Pay on exit",1.75,VLOOKUP(Q62,'Default Values'!$B$5:$C$12,2,FALSE))))</f>
        <v/>
      </c>
      <c r="R86" s="45" t="str">
        <f>IF(R61="","",IF(R79*3&gt;R72,1.2,1)*(0.5*(R63="Stairs")+1*(R63="Steep stairs")+0.5*(R64="Yes")+IF(R61="Pay on exit",1.75,VLOOKUP(R62,'Default Values'!$B$5:$C$12,2,FALSE))))</f>
        <v/>
      </c>
      <c r="S86" s="45" t="str">
        <f>IF(S61="","",IF(S79*3&gt;S72,1.2,1)*(0.5*(S63="Stairs")+1*(S63="Steep stairs")+0.5*(S64="Yes")+IF(S61="Pay on exit",1.75,VLOOKUP(S62,'Default Values'!$B$5:$C$12,2,FALSE))))</f>
        <v/>
      </c>
      <c r="T86" s="45" t="str">
        <f>IF(T61="","",IF(T79*3&gt;T72,1.2,1)*(0.5*(T63="Stairs")+1*(T63="Steep stairs")+0.5*(T64="Yes")+IF(T61="Pay on exit",1.75,VLOOKUP(T62,'Default Values'!$B$5:$C$12,2,FALSE))))</f>
        <v/>
      </c>
      <c r="U86" s="45" t="str">
        <f>IF(U61="","",IF(U79*3&gt;U72,1.2,1)*(0.5*(U63="Stairs")+1*(U63="Steep stairs")+0.5*(U64="Yes")+IF(U61="Pay on exit",1.75,VLOOKUP(U62,'Default Values'!$B$5:$C$12,2,FALSE))))</f>
        <v/>
      </c>
      <c r="V86" s="45" t="str">
        <f>IF(V61="","",IF(V79*3&gt;V72,1.2,1)*(0.5*(V63="Stairs")+1*(V63="Steep stairs")+0.5*(V64="Yes")+IF(V61="Pay on exit",1.75,VLOOKUP(V62,'Default Values'!$B$5:$C$12,2,FALSE))))</f>
        <v/>
      </c>
      <c r="W86" s="45" t="str">
        <f>IF(W61="","",IF(W79*3&gt;W72,1.2,1)*(0.5*(W63="Stairs")+1*(W63="Steep stairs")+0.5*(W64="Yes")+IF(W61="Pay on exit",1.75,VLOOKUP(W62,'Default Values'!$B$5:$C$12,2,FALSE))))</f>
        <v/>
      </c>
      <c r="X86" s="45" t="str">
        <f>IF(X61="","",IF(X79*3&gt;X72,1.2,1)*(0.5*(X63="Stairs")+1*(X63="Steep stairs")+0.5*(X64="Yes")+IF(X61="Pay on exit",1.75,VLOOKUP(X62,'Default Values'!$B$5:$C$12,2,FALSE))))</f>
        <v/>
      </c>
      <c r="Y86" s="21"/>
    </row>
    <row r="87" spans="2:25" ht="14.25">
      <c r="B87" s="9"/>
      <c r="C87" s="31" t="s">
        <v>263</v>
      </c>
      <c r="D87" s="31" t="s">
        <v>264</v>
      </c>
      <c r="E87" s="45">
        <f>IF(OR(E73="",E66=1),"",IF(E80*3&gt;E73,1.2,1)*(0.5*(E63="Stairs")+1*(E63="Steep stairs")+0.5*(E64="Yes")+IF(AND(E66&gt;E65,E62&lt;&gt;"None"),'Default Values'!$C$6,IF(E62="Smart card",'Default Values'!C63,'Default Values'!$C$5))))</f>
        <v>2.4</v>
      </c>
      <c r="F87" s="45">
        <f>IF(OR(F73="",F66=1),"",IF(F80*3&gt;F73,1.2,1)*(0.5*(F63="Stairs")+1*(F63="Steep stairs")+0.5*(F64="Yes")+IF(AND(F66&gt;F65,F62&lt;&gt;"None"),'Default Values'!$C$6,IF(F62="Smart card",'Default Values'!D63,'Default Values'!$C$5))))</f>
        <v>2.4</v>
      </c>
      <c r="G87" s="45">
        <f>IF(OR(G73="",G66=1),"",IF(G80*3&gt;G73,1.2,1)*(0.5*(G63="Stairs")+1*(G63="Steep stairs")+0.5*(G64="Yes")+IF(AND(G66&gt;G65,G62&lt;&gt;"None"),'Default Values'!$C$6,IF(G62="Smart card",'Default Values'!E63,'Default Values'!$C$5))))</f>
        <v>2.4</v>
      </c>
      <c r="H87" s="45">
        <f>IF(OR(H73="",H66=1),"",IF(H80*3&gt;H73,1.2,1)*(0.5*(H63="Stairs")+1*(H63="Steep stairs")+0.5*(H64="Yes")+IF(AND(H66&gt;H65,H62&lt;&gt;"None"),'Default Values'!$C$6,IF(H62="Smart card",'Default Values'!F63,'Default Values'!$C$5))))</f>
        <v>2</v>
      </c>
      <c r="I87" s="45">
        <f>IF(OR(I73="",I66=1),"",IF(I80*3&gt;I73,1.2,1)*(0.5*(I63="Stairs")+1*(I63="Steep stairs")+0.5*(I64="Yes")+IF(AND(I66&gt;I65,I62&lt;&gt;"None"),'Default Values'!$C$6,IF(I62="Smart card",'Default Values'!G63,'Default Values'!$C$5))))</f>
        <v>2.4</v>
      </c>
      <c r="J87" s="45">
        <f>IF(OR(J73="",J66=1),"",IF(J80*3&gt;J73,1.2,1)*(0.5*(J63="Stairs")+1*(J63="Steep stairs")+0.5*(J64="Yes")+IF(AND(J66&gt;J65,J62&lt;&gt;"None"),'Default Values'!$C$6,IF(J62="Smart card",'Default Values'!H63,'Default Values'!$C$5))))</f>
        <v>2</v>
      </c>
      <c r="K87" s="45">
        <f>IF(OR(K73="",K66=1),"",IF(K80*3&gt;K73,1.2,1)*(0.5*(K63="Stairs")+1*(K63="Steep stairs")+0.5*(K64="Yes")+IF(AND(K66&gt;K65,K62&lt;&gt;"None"),'Default Values'!$C$6,IF(K62="Smart card",'Default Values'!I63,'Default Values'!$C$5))))</f>
        <v>2</v>
      </c>
      <c r="L87" s="45">
        <f>IF(OR(L73="",L66=1),"",IF(L80*3&gt;L73,1.2,1)*(0.5*(L63="Stairs")+1*(L63="Steep stairs")+0.5*(L64="Yes")+IF(AND(L66&gt;L65,L62&lt;&gt;"None"),'Default Values'!$C$6,IF(L62="Smart card",'Default Values'!J63,'Default Values'!$C$5))))</f>
        <v>2</v>
      </c>
      <c r="M87" s="45" t="str">
        <f>IF(OR(M73="",M66=1),"",IF(M80*3&gt;M73,1.2,1)*(0.5*(M63="Stairs")+1*(M63="Steep stairs")+0.5*(M64="Yes")+IF(AND(M66&gt;M65,M62&lt;&gt;"None"),'Default Values'!$C$6,IF(M62="Smart card",'Default Values'!K63,'Default Values'!$C$5))))</f>
        <v/>
      </c>
      <c r="N87" s="45" t="str">
        <f>IF(OR(N73="",N66=1),"",IF(N80*3&gt;N73,1.2,1)*(0.5*(N63="Stairs")+1*(N63="Steep stairs")+0.5*(N64="Yes")+IF(AND(N66&gt;N65,N62&lt;&gt;"None"),'Default Values'!$C$6,IF(N62="Smart card",'Default Values'!L63,'Default Values'!$C$5))))</f>
        <v/>
      </c>
      <c r="O87" s="45" t="str">
        <f>IF(OR(O73="",O66=1),"",IF(O80*3&gt;O73,1.2,1)*(0.5*(O63="Stairs")+1*(O63="Steep stairs")+0.5*(O64="Yes")+IF(AND(O66&gt;O65,O62&lt;&gt;"None"),'Default Values'!$C$6,IF(O62="Smart card",'Default Values'!M63,'Default Values'!$C$5))))</f>
        <v/>
      </c>
      <c r="P87" s="45" t="str">
        <f>IF(OR(P73="",P66=1),"",IF(P80*3&gt;P73,1.2,1)*(0.5*(P63="Stairs")+1*(P63="Steep stairs")+0.5*(P64="Yes")+IF(AND(P66&gt;P65,P62&lt;&gt;"None"),'Default Values'!$C$6,IF(P62="Smart card",'Default Values'!N63,'Default Values'!$C$5))))</f>
        <v/>
      </c>
      <c r="Q87" s="45" t="str">
        <f>IF(OR(Q73="",Q66=1),"",IF(Q80*3&gt;Q73,1.2,1)*(0.5*(Q63="Stairs")+1*(Q63="Steep stairs")+0.5*(Q64="Yes")+IF(AND(Q66&gt;Q65,Q62&lt;&gt;"None"),'Default Values'!$C$6,IF(Q62="Smart card",'Default Values'!O63,'Default Values'!$C$5))))</f>
        <v/>
      </c>
      <c r="R87" s="45" t="str">
        <f>IF(OR(R73="",R66=1),"",IF(R80*3&gt;R73,1.2,1)*(0.5*(R63="Stairs")+1*(R63="Steep stairs")+0.5*(R64="Yes")+IF(AND(R66&gt;R65,R62&lt;&gt;"None"),'Default Values'!$C$6,IF(R62="Smart card",'Default Values'!P63,'Default Values'!$C$5))))</f>
        <v/>
      </c>
      <c r="S87" s="45" t="str">
        <f>IF(OR(S73="",S66=1),"",IF(S80*3&gt;S73,1.2,1)*(0.5*(S63="Stairs")+1*(S63="Steep stairs")+0.5*(S64="Yes")+IF(AND(S66&gt;S65,S62&lt;&gt;"None"),'Default Values'!$C$6,IF(S62="Smart card",'Default Values'!Q63,'Default Values'!$C$5))))</f>
        <v/>
      </c>
      <c r="T87" s="45" t="str">
        <f>IF(OR(T73="",T66=1),"",IF(T80*3&gt;T73,1.2,1)*(0.5*(T63="Stairs")+1*(T63="Steep stairs")+0.5*(T64="Yes")+IF(AND(T66&gt;T65,T62&lt;&gt;"None"),'Default Values'!$C$6,IF(T62="Smart card",'Default Values'!R63,'Default Values'!$C$5))))</f>
        <v/>
      </c>
      <c r="U87" s="45" t="str">
        <f>IF(OR(U73="",U66=1),"",IF(U80*3&gt;U73,1.2,1)*(0.5*(U63="Stairs")+1*(U63="Steep stairs")+0.5*(U64="Yes")+IF(AND(U66&gt;U65,U62&lt;&gt;"None"),'Default Values'!$C$6,IF(U62="Smart card",'Default Values'!S63,'Default Values'!$C$5))))</f>
        <v/>
      </c>
      <c r="V87" s="45" t="str">
        <f>IF(OR(V73="",V66=1),"",IF(V80*3&gt;V73,1.2,1)*(0.5*(V63="Stairs")+1*(V63="Steep stairs")+0.5*(V64="Yes")+IF(AND(V66&gt;V65,V62&lt;&gt;"None"),'Default Values'!$C$6,IF(V62="Smart card",'Default Values'!T63,'Default Values'!$C$5))))</f>
        <v/>
      </c>
      <c r="W87" s="45" t="str">
        <f>IF(OR(W73="",W66=1),"",IF(W80*3&gt;W73,1.2,1)*(0.5*(W63="Stairs")+1*(W63="Steep stairs")+0.5*(W64="Yes")+IF(AND(W66&gt;W65,W62&lt;&gt;"None"),'Default Values'!$C$6,IF(W62="Smart card",'Default Values'!U63,'Default Values'!$C$5))))</f>
        <v/>
      </c>
      <c r="X87" s="45" t="str">
        <f>IF(OR(X73="",X66=1),"",IF(X80*3&gt;X73,1.2,1)*(0.5*(X63="Stairs")+1*(X63="Steep stairs")+0.5*(X64="Yes")+IF(AND(X66&gt;X65,X62&lt;&gt;"None"),'Default Values'!$C$6,IF(X62="Smart card",'Default Values'!V63,'Default Values'!$C$5))))</f>
        <v/>
      </c>
      <c r="Y87" s="21"/>
    </row>
    <row r="88" spans="2:25" ht="14.25">
      <c r="B88" s="9"/>
      <c r="C88" s="31" t="s">
        <v>268</v>
      </c>
      <c r="D88" s="31" t="s">
        <v>265</v>
      </c>
      <c r="E88" s="45" t="str">
        <f>IF(E74="","",IF(E81*3&gt;E74,1.2,1)*(0.5*(E63="Stairs")+1*(E63="Steep stairs")+0.5*(E64="Yes")+IF(AND(E66&gt;E65,E62&lt;&gt;"None"),'Default Values'!$C$6,IF(E62="Smart card",'Default Values'!C63,'Default Values'!$C$5))))</f>
        <v/>
      </c>
      <c r="F88" s="45" t="str">
        <f>IF(F74="","",IF(F81*3&gt;F74,1.2,1)*(0.5*(F63="Stairs")+1*(F63="Steep stairs")+0.5*(F64="Yes")+IF(AND(F66&gt;F65,F62&lt;&gt;"None"),'Default Values'!$C$6,IF(F62="Smart card",'Default Values'!D63,'Default Values'!$C$5))))</f>
        <v/>
      </c>
      <c r="G88" s="45" t="str">
        <f>IF(G74="","",IF(G81*3&gt;G74,1.2,1)*(0.5*(G63="Stairs")+1*(G63="Steep stairs")+0.5*(G64="Yes")+IF(AND(G66&gt;G65,G62&lt;&gt;"None"),'Default Values'!$C$6,IF(G62="Smart card",'Default Values'!E63,'Default Values'!$C$5))))</f>
        <v/>
      </c>
      <c r="H88" s="45" t="str">
        <f>IF(H74="","",IF(H81*3&gt;H74,1.2,1)*(0.5*(H63="Stairs")+1*(H63="Steep stairs")+0.5*(H64="Yes")+IF(AND(H66&gt;H65,H62&lt;&gt;"None"),'Default Values'!$C$6,IF(H62="Smart card",'Default Values'!F63,'Default Values'!$C$5))))</f>
        <v/>
      </c>
      <c r="I88" s="45" t="str">
        <f>IF(I74="","",IF(I81*3&gt;I74,1.2,1)*(0.5*(I63="Stairs")+1*(I63="Steep stairs")+0.5*(I64="Yes")+IF(AND(I66&gt;I65,I62&lt;&gt;"None"),'Default Values'!$C$6,IF(I62="Smart card",'Default Values'!G63,'Default Values'!$C$5))))</f>
        <v/>
      </c>
      <c r="J88" s="45" t="str">
        <f>IF(J74="","",IF(J81*3&gt;J74,1.2,1)*(0.5*(J63="Stairs")+1*(J63="Steep stairs")+0.5*(J64="Yes")+IF(AND(J66&gt;J65,J62&lt;&gt;"None"),'Default Values'!$C$6,IF(J62="Smart card",'Default Values'!H63,'Default Values'!$C$5))))</f>
        <v/>
      </c>
      <c r="K88" s="45" t="str">
        <f>IF(K74="","",IF(K81*3&gt;K74,1.2,1)*(0.5*(K63="Stairs")+1*(K63="Steep stairs")+0.5*(K64="Yes")+IF(AND(K66&gt;K65,K62&lt;&gt;"None"),'Default Values'!$C$6,IF(K62="Smart card",'Default Values'!I63,'Default Values'!$C$5))))</f>
        <v/>
      </c>
      <c r="L88" s="45" t="str">
        <f>IF(L74="","",IF(L81*3&gt;L74,1.2,1)*(0.5*(L63="Stairs")+1*(L63="Steep stairs")+0.5*(L64="Yes")+IF(AND(L66&gt;L65,L62&lt;&gt;"None"),'Default Values'!$C$6,IF(L62="Smart card",'Default Values'!J63,'Default Values'!$C$5))))</f>
        <v/>
      </c>
      <c r="M88" s="45" t="str">
        <f>IF(M74="","",IF(M81*3&gt;M74,1.2,1)*(0.5*(M63="Stairs")+1*(M63="Steep stairs")+0.5*(M64="Yes")+IF(AND(M66&gt;M65,M62&lt;&gt;"None"),'Default Values'!$C$6,IF(M62="Smart card",'Default Values'!K63,'Default Values'!$C$5))))</f>
        <v/>
      </c>
      <c r="N88" s="45" t="str">
        <f>IF(N74="","",IF(N81*3&gt;N74,1.2,1)*(0.5*(N63="Stairs")+1*(N63="Steep stairs")+0.5*(N64="Yes")+IF(AND(N66&gt;N65,N62&lt;&gt;"None"),'Default Values'!$C$6,IF(N62="Smart card",'Default Values'!L63,'Default Values'!$C$5))))</f>
        <v/>
      </c>
      <c r="O88" s="45" t="str">
        <f>IF(O74="","",IF(O81*3&gt;O74,1.2,1)*(0.5*(O63="Stairs")+1*(O63="Steep stairs")+0.5*(O64="Yes")+IF(AND(O66&gt;O65,O62&lt;&gt;"None"),'Default Values'!$C$6,IF(O62="Smart card",'Default Values'!M63,'Default Values'!$C$5))))</f>
        <v/>
      </c>
      <c r="P88" s="45" t="str">
        <f>IF(P74="","",IF(P81*3&gt;P74,1.2,1)*(0.5*(P63="Stairs")+1*(P63="Steep stairs")+0.5*(P64="Yes")+IF(AND(P66&gt;P65,P62&lt;&gt;"None"),'Default Values'!$C$6,IF(P62="Smart card",'Default Values'!N63,'Default Values'!$C$5))))</f>
        <v/>
      </c>
      <c r="Q88" s="45" t="str">
        <f>IF(Q74="","",IF(Q81*3&gt;Q74,1.2,1)*(0.5*(Q63="Stairs")+1*(Q63="Steep stairs")+0.5*(Q64="Yes")+IF(AND(Q66&gt;Q65,Q62&lt;&gt;"None"),'Default Values'!$C$6,IF(Q62="Smart card",'Default Values'!O63,'Default Values'!$C$5))))</f>
        <v/>
      </c>
      <c r="R88" s="45" t="str">
        <f>IF(R74="","",IF(R81*3&gt;R74,1.2,1)*(0.5*(R63="Stairs")+1*(R63="Steep stairs")+0.5*(R64="Yes")+IF(AND(R66&gt;R65,R62&lt;&gt;"None"),'Default Values'!$C$6,IF(R62="Smart card",'Default Values'!P63,'Default Values'!$C$5))))</f>
        <v/>
      </c>
      <c r="S88" s="45" t="str">
        <f>IF(S74="","",IF(S81*3&gt;S74,1.2,1)*(0.5*(S63="Stairs")+1*(S63="Steep stairs")+0.5*(S64="Yes")+IF(AND(S66&gt;S65,S62&lt;&gt;"None"),'Default Values'!$C$6,IF(S62="Smart card",'Default Values'!Q63,'Default Values'!$C$5))))</f>
        <v/>
      </c>
      <c r="T88" s="45" t="str">
        <f>IF(T74="","",IF(T81*3&gt;T74,1.2,1)*(0.5*(T63="Stairs")+1*(T63="Steep stairs")+0.5*(T64="Yes")+IF(AND(T66&gt;T65,T62&lt;&gt;"None"),'Default Values'!$C$6,IF(T62="Smart card",'Default Values'!R63,'Default Values'!$C$5))))</f>
        <v/>
      </c>
      <c r="U88" s="45" t="str">
        <f>IF(U74="","",IF(U81*3&gt;U74,1.2,1)*(0.5*(U63="Stairs")+1*(U63="Steep stairs")+0.5*(U64="Yes")+IF(AND(U66&gt;U65,U62&lt;&gt;"None"),'Default Values'!$C$6,IF(U62="Smart card",'Default Values'!S63,'Default Values'!$C$5))))</f>
        <v/>
      </c>
      <c r="V88" s="45" t="str">
        <f>IF(V74="","",IF(V81*3&gt;V74,1.2,1)*(0.5*(V63="Stairs")+1*(V63="Steep stairs")+0.5*(V64="Yes")+IF(AND(V66&gt;V65,V62&lt;&gt;"None"),'Default Values'!$C$6,IF(V62="Smart card",'Default Values'!T63,'Default Values'!$C$5))))</f>
        <v/>
      </c>
      <c r="W88" s="45" t="str">
        <f>IF(W74="","",IF(W81*3&gt;W74,1.2,1)*(0.5*(W63="Stairs")+1*(W63="Steep stairs")+0.5*(W64="Yes")+IF(AND(W66&gt;W65,W62&lt;&gt;"None"),'Default Values'!$C$6,IF(W62="Smart card",'Default Values'!U63,'Default Values'!$C$5))))</f>
        <v/>
      </c>
      <c r="X88" s="45" t="str">
        <f>IF(X74="","",IF(X81*3&gt;X74,1.2,1)*(0.5*(X63="Stairs")+1*(X63="Steep stairs")+0.5*(X64="Yes")+IF(AND(X66&gt;X65,X62&lt;&gt;"None"),'Default Values'!$C$6,IF(X62="Smart card",'Default Values'!V63,'Default Values'!$C$5))))</f>
        <v/>
      </c>
      <c r="Y88" s="21"/>
    </row>
    <row r="89" spans="2:25" ht="14.25">
      <c r="B89" s="9"/>
      <c r="C89" s="31" t="s">
        <v>267</v>
      </c>
      <c r="D89" s="31" t="s">
        <v>266</v>
      </c>
      <c r="E89" s="45" t="str">
        <f>IF(E75="","",IF(E82*3&gt;E75,1.2,1)*(0.5*(E63="Stairs")+1*(E63="Steep stairs")+0.5*(E64="Yes")+IF(AND(E66&gt;E65,E62&lt;&gt;"None"),'Default Values'!$C$6,IF(E62="Smart card",'Default Values'!C63,'Default Values'!$C$5))))</f>
        <v/>
      </c>
      <c r="F89" s="45" t="str">
        <f>IF(F75="","",IF(F82*3&gt;F75,1.2,1)*(0.5*(F63="Stairs")+1*(F63="Steep stairs")+0.5*(F64="Yes")+IF(AND(F66&gt;F65,F62&lt;&gt;"None"),'Default Values'!$C$6,IF(F62="Smart card",'Default Values'!D63,'Default Values'!$C$5))))</f>
        <v/>
      </c>
      <c r="G89" s="45" t="str">
        <f>IF(G75="","",IF(G82*3&gt;G75,1.2,1)*(0.5*(G63="Stairs")+1*(G63="Steep stairs")+0.5*(G64="Yes")+IF(AND(G66&gt;G65,G62&lt;&gt;"None"),'Default Values'!$C$6,IF(G62="Smart card",'Default Values'!E63,'Default Values'!$C$5))))</f>
        <v/>
      </c>
      <c r="H89" s="45" t="str">
        <f>IF(H75="","",IF(H82*3&gt;H75,1.2,1)*(0.5*(H63="Stairs")+1*(H63="Steep stairs")+0.5*(H64="Yes")+IF(AND(H66&gt;H65,H62&lt;&gt;"None"),'Default Values'!$C$6,IF(H62="Smart card",'Default Values'!F63,'Default Values'!$C$5))))</f>
        <v/>
      </c>
      <c r="I89" s="45" t="str">
        <f>IF(I75="","",IF(I82*3&gt;I75,1.2,1)*(0.5*(I63="Stairs")+1*(I63="Steep stairs")+0.5*(I64="Yes")+IF(AND(I66&gt;I65,I62&lt;&gt;"None"),'Default Values'!$C$6,IF(I62="Smart card",'Default Values'!G63,'Default Values'!$C$5))))</f>
        <v/>
      </c>
      <c r="J89" s="45" t="str">
        <f>IF(J75="","",IF(J82*3&gt;J75,1.2,1)*(0.5*(J63="Stairs")+1*(J63="Steep stairs")+0.5*(J64="Yes")+IF(AND(J66&gt;J65,J62&lt;&gt;"None"),'Default Values'!$C$6,IF(J62="Smart card",'Default Values'!H63,'Default Values'!$C$5))))</f>
        <v/>
      </c>
      <c r="K89" s="45" t="str">
        <f>IF(K75="","",IF(K82*3&gt;K75,1.2,1)*(0.5*(K63="Stairs")+1*(K63="Steep stairs")+0.5*(K64="Yes")+IF(AND(K66&gt;K65,K62&lt;&gt;"None"),'Default Values'!$C$6,IF(K62="Smart card",'Default Values'!I63,'Default Values'!$C$5))))</f>
        <v/>
      </c>
      <c r="L89" s="45" t="str">
        <f>IF(L75="","",IF(L82*3&gt;L75,1.2,1)*(0.5*(L63="Stairs")+1*(L63="Steep stairs")+0.5*(L64="Yes")+IF(AND(L66&gt;L65,L62&lt;&gt;"None"),'Default Values'!$C$6,IF(L62="Smart card",'Default Values'!J63,'Default Values'!$C$5))))</f>
        <v/>
      </c>
      <c r="M89" s="45" t="str">
        <f>IF(M75="","",IF(M82*3&gt;M75,1.2,1)*(0.5*(M63="Stairs")+1*(M63="Steep stairs")+0.5*(M64="Yes")+IF(AND(M66&gt;M65,M62&lt;&gt;"None"),'Default Values'!$C$6,IF(M62="Smart card",'Default Values'!K63,'Default Values'!$C$5))))</f>
        <v/>
      </c>
      <c r="N89" s="45" t="str">
        <f>IF(N75="","",IF(N82*3&gt;N75,1.2,1)*(0.5*(N63="Stairs")+1*(N63="Steep stairs")+0.5*(N64="Yes")+IF(AND(N66&gt;N65,N62&lt;&gt;"None"),'Default Values'!$C$6,IF(N62="Smart card",'Default Values'!L63,'Default Values'!$C$5))))</f>
        <v/>
      </c>
      <c r="O89" s="45" t="str">
        <f>IF(O75="","",IF(O82*3&gt;O75,1.2,1)*(0.5*(O63="Stairs")+1*(O63="Steep stairs")+0.5*(O64="Yes")+IF(AND(O66&gt;O65,O62&lt;&gt;"None"),'Default Values'!$C$6,IF(O62="Smart card",'Default Values'!M63,'Default Values'!$C$5))))</f>
        <v/>
      </c>
      <c r="P89" s="45" t="str">
        <f>IF(P75="","",IF(P82*3&gt;P75,1.2,1)*(0.5*(P63="Stairs")+1*(P63="Steep stairs")+0.5*(P64="Yes")+IF(AND(P66&gt;P65,P62&lt;&gt;"None"),'Default Values'!$C$6,IF(P62="Smart card",'Default Values'!N63,'Default Values'!$C$5))))</f>
        <v/>
      </c>
      <c r="Q89" s="45" t="str">
        <f>IF(Q75="","",IF(Q82*3&gt;Q75,1.2,1)*(0.5*(Q63="Stairs")+1*(Q63="Steep stairs")+0.5*(Q64="Yes")+IF(AND(Q66&gt;Q65,Q62&lt;&gt;"None"),'Default Values'!$C$6,IF(Q62="Smart card",'Default Values'!O63,'Default Values'!$C$5))))</f>
        <v/>
      </c>
      <c r="R89" s="45" t="str">
        <f>IF(R75="","",IF(R82*3&gt;R75,1.2,1)*(0.5*(R63="Stairs")+1*(R63="Steep stairs")+0.5*(R64="Yes")+IF(AND(R66&gt;R65,R62&lt;&gt;"None"),'Default Values'!$C$6,IF(R62="Smart card",'Default Values'!P63,'Default Values'!$C$5))))</f>
        <v/>
      </c>
      <c r="S89" s="45" t="str">
        <f>IF(S75="","",IF(S82*3&gt;S75,1.2,1)*(0.5*(S63="Stairs")+1*(S63="Steep stairs")+0.5*(S64="Yes")+IF(AND(S66&gt;S65,S62&lt;&gt;"None"),'Default Values'!$C$6,IF(S62="Smart card",'Default Values'!Q63,'Default Values'!$C$5))))</f>
        <v/>
      </c>
      <c r="T89" s="45" t="str">
        <f>IF(T75="","",IF(T82*3&gt;T75,1.2,1)*(0.5*(T63="Stairs")+1*(T63="Steep stairs")+0.5*(T64="Yes")+IF(AND(T66&gt;T65,T62&lt;&gt;"None"),'Default Values'!$C$6,IF(T62="Smart card",'Default Values'!R63,'Default Values'!$C$5))))</f>
        <v/>
      </c>
      <c r="U89" s="45" t="str">
        <f>IF(U75="","",IF(U82*3&gt;U75,1.2,1)*(0.5*(U63="Stairs")+1*(U63="Steep stairs")+0.5*(U64="Yes")+IF(AND(U66&gt;U65,U62&lt;&gt;"None"),'Default Values'!$C$6,IF(U62="Smart card",'Default Values'!S63,'Default Values'!$C$5))))</f>
        <v/>
      </c>
      <c r="V89" s="45" t="str">
        <f>IF(V75="","",IF(V82*3&gt;V75,1.2,1)*(0.5*(V63="Stairs")+1*(V63="Steep stairs")+0.5*(V64="Yes")+IF(AND(V66&gt;V65,V62&lt;&gt;"None"),'Default Values'!$C$6,IF(V62="Smart card",'Default Values'!T63,'Default Values'!$C$5))))</f>
        <v/>
      </c>
      <c r="W89" s="45" t="str">
        <f>IF(W75="","",IF(W82*3&gt;W75,1.2,1)*(0.5*(W63="Stairs")+1*(W63="Steep stairs")+0.5*(W64="Yes")+IF(AND(W66&gt;W65,W62&lt;&gt;"None"),'Default Values'!$C$6,IF(W62="Smart card",'Default Values'!U63,'Default Values'!$C$5))))</f>
        <v/>
      </c>
      <c r="X89" s="45" t="str">
        <f>IF(X75="","",IF(X82*3&gt;X75,1.2,1)*(0.5*(X63="Stairs")+1*(X63="Steep stairs")+0.5*(X64="Yes")+IF(AND(X66&gt;X65,X62&lt;&gt;"None"),'Default Values'!$C$6,IF(X62="Smart card",'Default Values'!V63,'Default Values'!$C$5))))</f>
        <v/>
      </c>
      <c r="Y89" s="21"/>
    </row>
    <row r="90" spans="2:25">
      <c r="B90" s="9"/>
      <c r="C90" s="31"/>
      <c r="D90" s="31"/>
      <c r="E90" s="36"/>
      <c r="F90" s="36"/>
      <c r="G90" s="36"/>
      <c r="H90" s="36"/>
      <c r="I90" s="45"/>
      <c r="J90" s="45"/>
      <c r="K90" s="45"/>
      <c r="L90" s="45"/>
      <c r="M90" s="45"/>
      <c r="N90" s="45"/>
      <c r="O90" s="45"/>
      <c r="P90" s="45"/>
      <c r="Q90" s="45"/>
      <c r="R90" s="45"/>
      <c r="S90" s="45"/>
      <c r="T90" s="45"/>
      <c r="U90" s="45"/>
      <c r="V90" s="45"/>
      <c r="W90" s="45"/>
      <c r="X90" s="45"/>
      <c r="Y90" s="21"/>
    </row>
    <row r="91" spans="2:25" ht="14.25">
      <c r="B91" s="9"/>
      <c r="C91" s="31" t="s">
        <v>74</v>
      </c>
      <c r="D91" s="31" t="s">
        <v>235</v>
      </c>
      <c r="E91" s="45">
        <f>IF(E61="","",IF(E79*3&gt;E72,1.2,1)*(0.5*(E63="Stairs")+1*(E63="Steep stairs")+0.5*(E64="Yes")+IF(E62="Smart card",'Default Values'!$C$16,'Default Values'!$C$14)))</f>
        <v>2.5</v>
      </c>
      <c r="F91" s="45">
        <f>IF(F61="","",IF(F79*3&gt;F72,1.2,1)*(0.5*(F63="Stairs")+1*(F63="Steep stairs")+0.5*(F64="Yes")+IF(F62="Smart card",'Default Values'!$C$16,'Default Values'!$C$14)))</f>
        <v>2.5</v>
      </c>
      <c r="G91" s="45">
        <f>IF(G61="","",IF(G79*3&gt;G72,1.2,1)*(0.5*(G63="Stairs")+1*(G63="Steep stairs")+0.5*(G64="Yes")+IF(G62="Smart card",'Default Values'!$C$16,'Default Values'!$C$14)))</f>
        <v>2.5</v>
      </c>
      <c r="H91" s="45">
        <f>IF(H61="","",IF(H79*3&gt;H72,1.2,1)*(0.5*(H63="Stairs")+1*(H63="Steep stairs")+0.5*(H64="Yes")+IF(H62="Smart card",'Default Values'!$C$16,'Default Values'!$C$14)))</f>
        <v>2.5</v>
      </c>
      <c r="I91" s="45">
        <f>IF(I61="","",IF(I79*3&gt;I72,1.2,1)*(0.5*(I63="Stairs")+1*(I63="Steep stairs")+0.5*(I64="Yes")+IF(I62="Smart card",'Default Values'!$C$16,'Default Values'!$C$14)))</f>
        <v>2.5</v>
      </c>
      <c r="J91" s="45">
        <f>IF(J61="","",IF(J79*3&gt;J72,1.2,1)*(0.5*(J63="Stairs")+1*(J63="Steep stairs")+0.5*(J64="Yes")+IF(J62="Smart card",'Default Values'!$C$16,'Default Values'!$C$14)))</f>
        <v>2.5</v>
      </c>
      <c r="K91" s="45">
        <f>IF(K61="","",IF(K79*3&gt;K72,1.2,1)*(0.5*(K63="Stairs")+1*(K63="Steep stairs")+0.5*(K64="Yes")+IF(K62="Smart card",'Default Values'!$C$16,'Default Values'!$C$14)))</f>
        <v>2.5</v>
      </c>
      <c r="L91" s="45">
        <f>IF(L61="","",IF(L79*3&gt;L72,1.2,1)*(0.5*(L63="Stairs")+1*(L63="Steep stairs")+0.5*(L64="Yes")+IF(L62="Smart card",'Default Values'!$C$16,'Default Values'!$C$14)))</f>
        <v>2.5</v>
      </c>
      <c r="M91" s="45" t="str">
        <f>IF(M61="","",IF(M79*3&gt;M72,1.2,1)*(0.5*(M63="Stairs")+1*(M63="Steep stairs")+0.5*(M64="Yes")+IF(M62="Smart card",'Default Values'!$C$16,'Default Values'!$C$14)))</f>
        <v/>
      </c>
      <c r="N91" s="45" t="str">
        <f>IF(N61="","",IF(N79*3&gt;N72,1.2,1)*(0.5*(N63="Stairs")+1*(N63="Steep stairs")+0.5*(N64="Yes")+IF(N62="Smart card",'Default Values'!$C$16,'Default Values'!$C$14)))</f>
        <v/>
      </c>
      <c r="O91" s="45" t="str">
        <f>IF(O61="","",IF(O79*3&gt;O72,1.2,1)*(0.5*(O63="Stairs")+1*(O63="Steep stairs")+0.5*(O64="Yes")+IF(O62="Smart card",'Default Values'!$C$16,'Default Values'!$C$14)))</f>
        <v/>
      </c>
      <c r="P91" s="45" t="str">
        <f>IF(P61="","",IF(P79*3&gt;P72,1.2,1)*(0.5*(P63="Stairs")+1*(P63="Steep stairs")+0.5*(P64="Yes")+IF(P62="Smart card",'Default Values'!$C$16,'Default Values'!$C$14)))</f>
        <v/>
      </c>
      <c r="Q91" s="45" t="str">
        <f>IF(Q61="","",IF(Q79*3&gt;Q72,1.2,1)*(0.5*(Q63="Stairs")+1*(Q63="Steep stairs")+0.5*(Q64="Yes")+IF(Q62="Smart card",'Default Values'!$C$16,'Default Values'!$C$14)))</f>
        <v/>
      </c>
      <c r="R91" s="45" t="str">
        <f>IF(R61="","",IF(R79*3&gt;R72,1.2,1)*(0.5*(R63="Stairs")+1*(R63="Steep stairs")+0.5*(R64="Yes")+IF(R62="Smart card",'Default Values'!$C$16,'Default Values'!$C$14)))</f>
        <v/>
      </c>
      <c r="S91" s="45" t="str">
        <f>IF(S61="","",IF(S79*3&gt;S72,1.2,1)*(0.5*(S63="Stairs")+1*(S63="Steep stairs")+0.5*(S64="Yes")+IF(S62="Smart card",'Default Values'!$C$16,'Default Values'!$C$14)))</f>
        <v/>
      </c>
      <c r="T91" s="45" t="str">
        <f>IF(T61="","",IF(T79*3&gt;T72,1.2,1)*(0.5*(T63="Stairs")+1*(T63="Steep stairs")+0.5*(T64="Yes")+IF(T62="Smart card",'Default Values'!$C$16,'Default Values'!$C$14)))</f>
        <v/>
      </c>
      <c r="U91" s="45" t="str">
        <f>IF(U61="","",IF(U79*3&gt;U72,1.2,1)*(0.5*(U63="Stairs")+1*(U63="Steep stairs")+0.5*(U64="Yes")+IF(U62="Smart card",'Default Values'!$C$16,'Default Values'!$C$14)))</f>
        <v/>
      </c>
      <c r="V91" s="45" t="str">
        <f>IF(V61="","",IF(V79*3&gt;V72,1.2,1)*(0.5*(V63="Stairs")+1*(V63="Steep stairs")+0.5*(V64="Yes")+IF(V62="Smart card",'Default Values'!$C$16,'Default Values'!$C$14)))</f>
        <v/>
      </c>
      <c r="W91" s="45" t="str">
        <f>IF(W61="","",IF(W79*3&gt;W72,1.2,1)*(0.5*(W63="Stairs")+1*(W63="Steep stairs")+0.5*(W64="Yes")+IF(W62="Smart card",'Default Values'!$C$16,'Default Values'!$C$14)))</f>
        <v/>
      </c>
      <c r="X91" s="45" t="str">
        <f>IF(X61="","",IF(X79*3&gt;X72,1.2,1)*(0.5*(X63="Stairs")+1*(X63="Steep stairs")+0.5*(X64="Yes")+IF(X62="Smart card",'Default Values'!$C$16,'Default Values'!$C$14)))</f>
        <v/>
      </c>
      <c r="Y91" s="21"/>
    </row>
    <row r="92" spans="2:25" ht="14.25">
      <c r="B92" s="9"/>
      <c r="C92" s="31" t="s">
        <v>75</v>
      </c>
      <c r="D92" s="31" t="s">
        <v>236</v>
      </c>
      <c r="E92" s="45">
        <f>IF(OR(E61="",E66=1),"",IF(E80*3&gt;E73,1.2,1)*(0.5*(E63="Stairs")+1*(E63="Steep stairs")+0.5*(E64="Yes")+IF(E62="Smart card",'Default Values'!$C$16,IF(E65=E66,'Default Values'!$C$15,'Default Values'!$C$14))))</f>
        <v>3</v>
      </c>
      <c r="F92" s="45">
        <f>IF(OR(F61="",F66=1),"",IF(F80*3&gt;F73,1.2,1)*(0.5*(F63="Stairs")+1*(F63="Steep stairs")+0.5*(F64="Yes")+IF(F62="Smart card",'Default Values'!$C$16,IF(F65=F66,'Default Values'!$C$15,'Default Values'!$C$14))))</f>
        <v>3</v>
      </c>
      <c r="G92" s="45">
        <f>IF(OR(G61="",G66=1),"",IF(G80*3&gt;G73,1.2,1)*(0.5*(G63="Stairs")+1*(G63="Steep stairs")+0.5*(G64="Yes")+IF(G62="Smart card",'Default Values'!$C$16,IF(G65=G66,'Default Values'!$C$15,'Default Values'!$C$14))))</f>
        <v>3</v>
      </c>
      <c r="H92" s="45">
        <f>IF(OR(H61="",H66=1),"",IF(H80*3&gt;H73,1.2,1)*(0.5*(H63="Stairs")+1*(H63="Steep stairs")+0.5*(H64="Yes")+IF(H62="Smart card",'Default Values'!$C$16,IF(H65=H66,'Default Values'!$C$15,'Default Values'!$C$14))))</f>
        <v>2.5</v>
      </c>
      <c r="I92" s="45">
        <f>IF(OR(I61="",I66=1),"",IF(I80*3&gt;I73,1.2,1)*(0.5*(I63="Stairs")+1*(I63="Steep stairs")+0.5*(I64="Yes")+IF(I62="Smart card",'Default Values'!$C$16,IF(I65=I66,'Default Values'!$C$15,'Default Values'!$C$14))))</f>
        <v>3</v>
      </c>
      <c r="J92" s="45">
        <f>IF(OR(J61="",J66=1),"",IF(J80*3&gt;J73,1.2,1)*(0.5*(J63="Stairs")+1*(J63="Steep stairs")+0.5*(J64="Yes")+IF(J62="Smart card",'Default Values'!$C$16,IF(J65=J66,'Default Values'!$C$15,'Default Values'!$C$14))))</f>
        <v>2.5</v>
      </c>
      <c r="K92" s="45">
        <f>IF(OR(K61="",K66=1),"",IF(K80*3&gt;K73,1.2,1)*(0.5*(K63="Stairs")+1*(K63="Steep stairs")+0.5*(K64="Yes")+IF(K62="Smart card",'Default Values'!$C$16,IF(K65=K66,'Default Values'!$C$15,'Default Values'!$C$14))))</f>
        <v>2.5</v>
      </c>
      <c r="L92" s="45">
        <f>IF(OR(L61="",L66=1),"",IF(L80*3&gt;L73,1.2,1)*(0.5*(L63="Stairs")+1*(L63="Steep stairs")+0.5*(L64="Yes")+IF(L62="Smart card",'Default Values'!$C$16,IF(L65=L66,'Default Values'!$C$15,'Default Values'!$C$14))))</f>
        <v>2.5</v>
      </c>
      <c r="M92" s="45" t="str">
        <f>IF(OR(M61="",M66=1),"",IF(M80*3&gt;M73,1.2,1)*(0.5*(M63="Stairs")+1*(M63="Steep stairs")+0.5*(M64="Yes")+IF(M62="Smart card",'Default Values'!$C$16,IF(M65=M66,'Default Values'!$C$15,'Default Values'!$C$14))))</f>
        <v/>
      </c>
      <c r="N92" s="45" t="str">
        <f>IF(OR(N61="",N66=1),"",IF(N80*3&gt;N73,1.2,1)*(0.5*(N63="Stairs")+1*(N63="Steep stairs")+0.5*(N64="Yes")+IF(N62="Smart card",'Default Values'!$C$16,IF(N65=N66,'Default Values'!$C$15,'Default Values'!$C$14))))</f>
        <v/>
      </c>
      <c r="O92" s="45" t="str">
        <f>IF(OR(O61="",O66=1),"",IF(O80*3&gt;O73,1.2,1)*(0.5*(O63="Stairs")+1*(O63="Steep stairs")+0.5*(O64="Yes")+IF(O62="Smart card",'Default Values'!$C$16,IF(O65=O66,'Default Values'!$C$15,'Default Values'!$C$14))))</f>
        <v/>
      </c>
      <c r="P92" s="45" t="str">
        <f>IF(OR(P61="",P66=1),"",IF(P80*3&gt;P73,1.2,1)*(0.5*(P63="Stairs")+1*(P63="Steep stairs")+0.5*(P64="Yes")+IF(P62="Smart card",'Default Values'!$C$16,IF(P65=P66,'Default Values'!$C$15,'Default Values'!$C$14))))</f>
        <v/>
      </c>
      <c r="Q92" s="45" t="str">
        <f>IF(OR(Q61="",Q66=1),"",IF(Q80*3&gt;Q73,1.2,1)*(0.5*(Q63="Stairs")+1*(Q63="Steep stairs")+0.5*(Q64="Yes")+IF(Q62="Smart card",'Default Values'!$C$16,IF(Q65=Q66,'Default Values'!$C$15,'Default Values'!$C$14))))</f>
        <v/>
      </c>
      <c r="R92" s="45" t="str">
        <f>IF(OR(R61="",R66=1),"",IF(R80*3&gt;R73,1.2,1)*(0.5*(R63="Stairs")+1*(R63="Steep stairs")+0.5*(R64="Yes")+IF(R62="Smart card",'Default Values'!$C$16,IF(R65=R66,'Default Values'!$C$15,'Default Values'!$C$14))))</f>
        <v/>
      </c>
      <c r="S92" s="45" t="str">
        <f>IF(OR(S61="",S66=1),"",IF(S80*3&gt;S73,1.2,1)*(0.5*(S63="Stairs")+1*(S63="Steep stairs")+0.5*(S64="Yes")+IF(S62="Smart card",'Default Values'!$C$16,IF(S65=S66,'Default Values'!$C$15,'Default Values'!$C$14))))</f>
        <v/>
      </c>
      <c r="T92" s="45" t="str">
        <f>IF(OR(T61="",T66=1),"",IF(T80*3&gt;T73,1.2,1)*(0.5*(T63="Stairs")+1*(T63="Steep stairs")+0.5*(T64="Yes")+IF(T62="Smart card",'Default Values'!$C$16,IF(T65=T66,'Default Values'!$C$15,'Default Values'!$C$14))))</f>
        <v/>
      </c>
      <c r="U92" s="45" t="str">
        <f>IF(OR(U61="",U66=1),"",IF(U80*3&gt;U73,1.2,1)*(0.5*(U63="Stairs")+1*(U63="Steep stairs")+0.5*(U64="Yes")+IF(U62="Smart card",'Default Values'!$C$16,IF(U65=U66,'Default Values'!$C$15,'Default Values'!$C$14))))</f>
        <v/>
      </c>
      <c r="V92" s="45" t="str">
        <f>IF(OR(V61="",V66=1),"",IF(V80*3&gt;V73,1.2,1)*(0.5*(V63="Stairs")+1*(V63="Steep stairs")+0.5*(V64="Yes")+IF(V62="Smart card",'Default Values'!$C$16,IF(V65=V66,'Default Values'!$C$15,'Default Values'!$C$14))))</f>
        <v/>
      </c>
      <c r="W92" s="45" t="str">
        <f>IF(OR(W61="",W66=1),"",IF(W80*3&gt;W73,1.2,1)*(0.5*(W63="Stairs")+1*(W63="Steep stairs")+0.5*(W64="Yes")+IF(W62="Smart card",'Default Values'!$C$16,IF(W65=W66,'Default Values'!$C$15,'Default Values'!$C$14))))</f>
        <v/>
      </c>
      <c r="X92" s="45" t="str">
        <f>IF(OR(X61="",X66=1),"",IF(X80*3&gt;X73,1.2,1)*(0.5*(X63="Stairs")+1*(X63="Steep stairs")+0.5*(X64="Yes")+IF(X62="Smart card",'Default Values'!$C$16,IF(X65=X66,'Default Values'!$C$15,'Default Values'!$C$14))))</f>
        <v/>
      </c>
      <c r="Y92" s="21"/>
    </row>
    <row r="93" spans="2:25" ht="14.25">
      <c r="B93" s="9"/>
      <c r="C93" s="31" t="s">
        <v>269</v>
      </c>
      <c r="D93" s="31" t="s">
        <v>270</v>
      </c>
      <c r="E93" s="45">
        <f>IF(OR(E61="",E66&lt;3),"",IF(E81*3&gt;E74,1.2,1)*(0.5*(E63="Stairs")+1*(E63="Steep stairs")+0.5*(E64="Yes")+IF(E62="Smart card",'Default Values'!$C$16,'Default Values'!$C$15)))</f>
        <v>1.75</v>
      </c>
      <c r="F93" s="45">
        <f>IF(OR(F61="",F66&lt;3),"",IF(F81*3&gt;F74,1.2,1)*(0.5*(F63="Stairs")+1*(F63="Steep stairs")+0.5*(F64="Yes")+IF(F62="Smart card",'Default Values'!$C$16,'Default Values'!$C$15)))</f>
        <v>1.75</v>
      </c>
      <c r="G93" s="45">
        <f>IF(OR(G61="",G66&lt;3),"",IF(G81*3&gt;G74,1.2,1)*(0.5*(G63="Stairs")+1*(G63="Steep stairs")+0.5*(G64="Yes")+IF(G62="Smart card",'Default Values'!$C$16,'Default Values'!$C$15)))</f>
        <v>1.75</v>
      </c>
      <c r="H93" s="45">
        <f>IF(OR(H61="",H66&lt;3),"",IF(H81*3&gt;H74,1.2,1)*(0.5*(H63="Stairs")+1*(H63="Steep stairs")+0.5*(H64="Yes")+IF(H62="Smart card",'Default Values'!$C$16,'Default Values'!$C$15)))</f>
        <v>1.75</v>
      </c>
      <c r="I93" s="45">
        <f>IF(OR(I61="",I66&lt;3),"",IF(I81*3&gt;I74,1.2,1)*(0.5*(I63="Stairs")+1*(I63="Steep stairs")+0.5*(I64="Yes")+IF(I62="Smart card",'Default Values'!$C$16,'Default Values'!$C$15)))</f>
        <v>1.75</v>
      </c>
      <c r="J93" s="45">
        <f>IF(OR(J61="",J66&lt;3),"",IF(J81*3&gt;J74,1.2,1)*(0.5*(J63="Stairs")+1*(J63="Steep stairs")+0.5*(J64="Yes")+IF(J62="Smart card",'Default Values'!$C$16,'Default Values'!$C$15)))</f>
        <v>1.75</v>
      </c>
      <c r="K93" s="45">
        <f>IF(OR(K61="",K66&lt;3),"",IF(K81*3&gt;K74,1.2,1)*(0.5*(K63="Stairs")+1*(K63="Steep stairs")+0.5*(K64="Yes")+IF(K62="Smart card",'Default Values'!$C$16,'Default Values'!$C$15)))</f>
        <v>1.75</v>
      </c>
      <c r="L93" s="45">
        <f>IF(OR(L61="",L66&lt;3),"",IF(L81*3&gt;L74,1.2,1)*(0.5*(L63="Stairs")+1*(L63="Steep stairs")+0.5*(L64="Yes")+IF(L62="Smart card",'Default Values'!$C$16,'Default Values'!$C$15)))</f>
        <v>1.75</v>
      </c>
      <c r="M93" s="45" t="str">
        <f>IF(OR(M61="",M66&lt;3),"",IF(M81*3&gt;M74,1.2,1)*(0.5*(M63="Stairs")+1*(M63="Steep stairs")+0.5*(M64="Yes")+IF(M62="Smart card",'Default Values'!$C$16,'Default Values'!$C$15)))</f>
        <v/>
      </c>
      <c r="N93" s="45" t="str">
        <f>IF(OR(N61="",N66&lt;3),"",IF(N81*3&gt;N74,1.2,1)*(0.5*(N63="Stairs")+1*(N63="Steep stairs")+0.5*(N64="Yes")+IF(N62="Smart card",'Default Values'!$C$16,'Default Values'!$C$15)))</f>
        <v/>
      </c>
      <c r="O93" s="45" t="str">
        <f>IF(OR(O61="",O66&lt;3),"",IF(O81*3&gt;O74,1.2,1)*(0.5*(O63="Stairs")+1*(O63="Steep stairs")+0.5*(O64="Yes")+IF(O62="Smart card",'Default Values'!$C$16,'Default Values'!$C$15)))</f>
        <v/>
      </c>
      <c r="P93" s="45" t="str">
        <f>IF(OR(P61="",P66&lt;3),"",IF(P81*3&gt;P74,1.2,1)*(0.5*(P63="Stairs")+1*(P63="Steep stairs")+0.5*(P64="Yes")+IF(P62="Smart card",'Default Values'!$C$16,'Default Values'!$C$15)))</f>
        <v/>
      </c>
      <c r="Q93" s="45" t="str">
        <f>IF(OR(Q61="",Q66&lt;3),"",IF(Q81*3&gt;Q74,1.2,1)*(0.5*(Q63="Stairs")+1*(Q63="Steep stairs")+0.5*(Q64="Yes")+IF(Q62="Smart card",'Default Values'!$C$16,'Default Values'!$C$15)))</f>
        <v/>
      </c>
      <c r="R93" s="45" t="str">
        <f>IF(OR(R61="",R66&lt;3),"",IF(R81*3&gt;R74,1.2,1)*(0.5*(R63="Stairs")+1*(R63="Steep stairs")+0.5*(R64="Yes")+IF(R62="Smart card",'Default Values'!$C$16,'Default Values'!$C$15)))</f>
        <v/>
      </c>
      <c r="S93" s="45" t="str">
        <f>IF(OR(S61="",S66&lt;3),"",IF(S81*3&gt;S74,1.2,1)*(0.5*(S63="Stairs")+1*(S63="Steep stairs")+0.5*(S64="Yes")+IF(S62="Smart card",'Default Values'!$C$16,'Default Values'!$C$15)))</f>
        <v/>
      </c>
      <c r="T93" s="45" t="str">
        <f>IF(OR(T61="",T66&lt;3),"",IF(T81*3&gt;T74,1.2,1)*(0.5*(T63="Stairs")+1*(T63="Steep stairs")+0.5*(T64="Yes")+IF(T62="Smart card",'Default Values'!$C$16,'Default Values'!$C$15)))</f>
        <v/>
      </c>
      <c r="U93" s="45" t="str">
        <f>IF(OR(U61="",U66&lt;3),"",IF(U81*3&gt;U74,1.2,1)*(0.5*(U63="Stairs")+1*(U63="Steep stairs")+0.5*(U64="Yes")+IF(U62="Smart card",'Default Values'!$C$16,'Default Values'!$C$15)))</f>
        <v/>
      </c>
      <c r="V93" s="45" t="str">
        <f>IF(OR(V61="",V66&lt;3),"",IF(V81*3&gt;V74,1.2,1)*(0.5*(V63="Stairs")+1*(V63="Steep stairs")+0.5*(V64="Yes")+IF(V62="Smart card",'Default Values'!$C$16,'Default Values'!$C$15)))</f>
        <v/>
      </c>
      <c r="W93" s="45" t="str">
        <f>IF(OR(W61="",W66&lt;3),"",IF(W81*3&gt;W74,1.2,1)*(0.5*(W63="Stairs")+1*(W63="Steep stairs")+0.5*(W64="Yes")+IF(W62="Smart card",'Default Values'!$C$16,'Default Values'!$C$15)))</f>
        <v/>
      </c>
      <c r="X93" s="45" t="str">
        <f>IF(OR(X61="",X66&lt;3),"",IF(X81*3&gt;X74,1.2,1)*(0.5*(X63="Stairs")+1*(X63="Steep stairs")+0.5*(X64="Yes")+IF(X62="Smart card",'Default Values'!$C$16,'Default Values'!$C$15)))</f>
        <v/>
      </c>
      <c r="Y93" s="21"/>
    </row>
    <row r="94" spans="2:25" ht="14.25">
      <c r="B94" s="9"/>
      <c r="C94" s="31" t="s">
        <v>271</v>
      </c>
      <c r="D94" s="31" t="s">
        <v>272</v>
      </c>
      <c r="E94" s="45" t="str">
        <f>IF(OR(E61="",E66&lt;4),"",IF(E82*3&gt;E75,1.2,1)*(0.5*(E63="Stairs")+1*(E63="Steep stairs")+0.5*(E64="Yes")+IF(E62="Smart card",'Default Values'!$C$16,'Default Values'!$C$15)))</f>
        <v/>
      </c>
      <c r="F94" s="45" t="str">
        <f>IF(OR(F61="",F66&lt;4),"",IF(F82*3&gt;F75,1.2,1)*(0.5*(F63="Stairs")+1*(F63="Steep stairs")+0.5*(F64="Yes")+IF(F62="Smart card",'Default Values'!$C$16,'Default Values'!$C$15)))</f>
        <v/>
      </c>
      <c r="G94" s="45" t="str">
        <f>IF(OR(G61="",G66&lt;4),"",IF(G82*3&gt;G75,1.2,1)*(0.5*(G63="Stairs")+1*(G63="Steep stairs")+0.5*(G64="Yes")+IF(G62="Smart card",'Default Values'!$C$16,'Default Values'!$C$15)))</f>
        <v/>
      </c>
      <c r="H94" s="45" t="str">
        <f>IF(OR(H61="",H66&lt;4),"",IF(H82*3&gt;H75,1.2,1)*(0.5*(H63="Stairs")+1*(H63="Steep stairs")+0.5*(H64="Yes")+IF(H62="Smart card",'Default Values'!$C$16,'Default Values'!$C$15)))</f>
        <v/>
      </c>
      <c r="I94" s="45" t="str">
        <f>IF(OR(I61="",I66&lt;4),"",IF(I82*3&gt;I75,1.2,1)*(0.5*(I63="Stairs")+1*(I63="Steep stairs")+0.5*(I64="Yes")+IF(I62="Smart card",'Default Values'!$C$16,'Default Values'!$C$15)))</f>
        <v/>
      </c>
      <c r="J94" s="45" t="str">
        <f>IF(OR(J61="",J66&lt;4),"",IF(J82*3&gt;J75,1.2,1)*(0.5*(J63="Stairs")+1*(J63="Steep stairs")+0.5*(J64="Yes")+IF(J62="Smart card",'Default Values'!$C$16,'Default Values'!$C$15)))</f>
        <v/>
      </c>
      <c r="K94" s="45" t="str">
        <f>IF(OR(K61="",K66&lt;4),"",IF(K82*3&gt;K75,1.2,1)*(0.5*(K63="Stairs")+1*(K63="Steep stairs")+0.5*(K64="Yes")+IF(K62="Smart card",'Default Values'!$C$16,'Default Values'!$C$15)))</f>
        <v/>
      </c>
      <c r="L94" s="45" t="str">
        <f>IF(OR(L61="",L66&lt;4),"",IF(L82*3&gt;L75,1.2,1)*(0.5*(L63="Stairs")+1*(L63="Steep stairs")+0.5*(L64="Yes")+IF(L62="Smart card",'Default Values'!$C$16,'Default Values'!$C$15)))</f>
        <v/>
      </c>
      <c r="M94" s="45" t="str">
        <f>IF(OR(M61="",M66&lt;4),"",IF(M82*3&gt;M75,1.2,1)*(0.5*(M63="Stairs")+1*(M63="Steep stairs")+0.5*(M64="Yes")+IF(M62="Smart card",'Default Values'!$C$16,'Default Values'!$C$15)))</f>
        <v/>
      </c>
      <c r="N94" s="45" t="str">
        <f>IF(OR(N61="",N66&lt;4),"",IF(N82*3&gt;N75,1.2,1)*(0.5*(N63="Stairs")+1*(N63="Steep stairs")+0.5*(N64="Yes")+IF(N62="Smart card",'Default Values'!$C$16,'Default Values'!$C$15)))</f>
        <v/>
      </c>
      <c r="O94" s="45" t="str">
        <f>IF(OR(O61="",O66&lt;4),"",IF(O82*3&gt;O75,1.2,1)*(0.5*(O63="Stairs")+1*(O63="Steep stairs")+0.5*(O64="Yes")+IF(O62="Smart card",'Default Values'!$C$16,'Default Values'!$C$15)))</f>
        <v/>
      </c>
      <c r="P94" s="45" t="str">
        <f>IF(OR(P61="",P66&lt;4),"",IF(P82*3&gt;P75,1.2,1)*(0.5*(P63="Stairs")+1*(P63="Steep stairs")+0.5*(P64="Yes")+IF(P62="Smart card",'Default Values'!$C$16,'Default Values'!$C$15)))</f>
        <v/>
      </c>
      <c r="Q94" s="45" t="str">
        <f>IF(OR(Q61="",Q66&lt;4),"",IF(Q82*3&gt;Q75,1.2,1)*(0.5*(Q63="Stairs")+1*(Q63="Steep stairs")+0.5*(Q64="Yes")+IF(Q62="Smart card",'Default Values'!$C$16,'Default Values'!$C$15)))</f>
        <v/>
      </c>
      <c r="R94" s="45" t="str">
        <f>IF(OR(R61="",R66&lt;4),"",IF(R82*3&gt;R75,1.2,1)*(0.5*(R63="Stairs")+1*(R63="Steep stairs")+0.5*(R64="Yes")+IF(R62="Smart card",'Default Values'!$C$16,'Default Values'!$C$15)))</f>
        <v/>
      </c>
      <c r="S94" s="45" t="str">
        <f>IF(OR(S61="",S66&lt;4),"",IF(S82*3&gt;S75,1.2,1)*(0.5*(S63="Stairs")+1*(S63="Steep stairs")+0.5*(S64="Yes")+IF(S62="Smart card",'Default Values'!$C$16,'Default Values'!$C$15)))</f>
        <v/>
      </c>
      <c r="T94" s="45" t="str">
        <f>IF(OR(T61="",T66&lt;4),"",IF(T82*3&gt;T75,1.2,1)*(0.5*(T63="Stairs")+1*(T63="Steep stairs")+0.5*(T64="Yes")+IF(T62="Smart card",'Default Values'!$C$16,'Default Values'!$C$15)))</f>
        <v/>
      </c>
      <c r="U94" s="45" t="str">
        <f>IF(OR(U61="",U66&lt;4),"",IF(U82*3&gt;U75,1.2,1)*(0.5*(U63="Stairs")+1*(U63="Steep stairs")+0.5*(U64="Yes")+IF(U62="Smart card",'Default Values'!$C$16,'Default Values'!$C$15)))</f>
        <v/>
      </c>
      <c r="V94" s="45" t="str">
        <f>IF(OR(V61="",V66&lt;4),"",IF(V82*3&gt;V75,1.2,1)*(0.5*(V63="Stairs")+1*(V63="Steep stairs")+0.5*(V64="Yes")+IF(V62="Smart card",'Default Values'!$C$16,'Default Values'!$C$15)))</f>
        <v/>
      </c>
      <c r="W94" s="45" t="str">
        <f>IF(OR(W61="",W66&lt;4),"",IF(W82*3&gt;W75,1.2,1)*(0.5*(W63="Stairs")+1*(W63="Steep stairs")+0.5*(W64="Yes")+IF(W62="Smart card",'Default Values'!$C$16,'Default Values'!$C$15)))</f>
        <v/>
      </c>
      <c r="X94" s="45" t="str">
        <f>IF(OR(X61="",X66&lt;4),"",IF(X82*3&gt;X75,1.2,1)*(0.5*(X63="Stairs")+1*(X63="Steep stairs")+0.5*(X64="Yes")+IF(X62="Smart card",'Default Values'!$C$16,'Default Values'!$C$15)))</f>
        <v/>
      </c>
      <c r="Y94" s="21"/>
    </row>
    <row r="95" spans="2:25">
      <c r="B95" s="9"/>
      <c r="C95" s="31"/>
      <c r="D95" s="31"/>
      <c r="E95" s="36"/>
      <c r="F95" s="36"/>
      <c r="G95" s="36"/>
      <c r="H95" s="36"/>
      <c r="I95" s="36"/>
      <c r="J95" s="36"/>
      <c r="K95" s="36"/>
      <c r="L95" s="36"/>
      <c r="M95" s="36"/>
      <c r="N95" s="36"/>
      <c r="O95" s="36"/>
      <c r="P95" s="36"/>
      <c r="Q95" s="36"/>
      <c r="R95" s="36"/>
      <c r="S95" s="36"/>
      <c r="T95" s="36"/>
      <c r="U95" s="36"/>
      <c r="V95" s="36"/>
      <c r="W95" s="36"/>
      <c r="X95" s="36"/>
      <c r="Y95" s="21"/>
    </row>
    <row r="96" spans="2:25" ht="14.25">
      <c r="B96" s="9"/>
      <c r="C96" s="31" t="s">
        <v>76</v>
      </c>
      <c r="D96" s="31" t="s">
        <v>237</v>
      </c>
      <c r="E96" s="36">
        <f>IF(AND(E72="",E79=""),"",IF(E72="",E79*E91,IF(E79="",E72*E86,(E72*E86)+(E79*E91))))</f>
        <v>4.05</v>
      </c>
      <c r="F96" s="36">
        <f t="shared" ref="F96:X96" si="60">IF(AND(F72="",F79=""),"",IF(F72="",F79*F91,IF(F79="",F72*F86,(F72*F86)+(F79*F91))))</f>
        <v>8.1</v>
      </c>
      <c r="G96" s="36">
        <f t="shared" si="60"/>
        <v>16.2</v>
      </c>
      <c r="H96" s="36">
        <f t="shared" si="60"/>
        <v>20.25</v>
      </c>
      <c r="I96" s="36">
        <f t="shared" si="60"/>
        <v>12.15</v>
      </c>
      <c r="J96" s="36">
        <f t="shared" si="60"/>
        <v>24.3</v>
      </c>
      <c r="K96" s="36">
        <f t="shared" si="60"/>
        <v>8.1</v>
      </c>
      <c r="L96" s="36">
        <f t="shared" si="60"/>
        <v>6.0750000000000002</v>
      </c>
      <c r="M96" s="36" t="str">
        <f t="shared" si="60"/>
        <v/>
      </c>
      <c r="N96" s="36" t="str">
        <f t="shared" si="60"/>
        <v/>
      </c>
      <c r="O96" s="36" t="str">
        <f t="shared" si="60"/>
        <v/>
      </c>
      <c r="P96" s="36" t="str">
        <f t="shared" si="60"/>
        <v/>
      </c>
      <c r="Q96" s="36" t="str">
        <f t="shared" si="60"/>
        <v/>
      </c>
      <c r="R96" s="36" t="str">
        <f t="shared" si="60"/>
        <v/>
      </c>
      <c r="S96" s="36" t="str">
        <f t="shared" si="60"/>
        <v/>
      </c>
      <c r="T96" s="36" t="str">
        <f t="shared" si="60"/>
        <v/>
      </c>
      <c r="U96" s="36" t="str">
        <f t="shared" si="60"/>
        <v/>
      </c>
      <c r="V96" s="36" t="str">
        <f t="shared" si="60"/>
        <v/>
      </c>
      <c r="W96" s="36" t="str">
        <f t="shared" si="60"/>
        <v/>
      </c>
      <c r="X96" s="36" t="str">
        <f t="shared" si="60"/>
        <v/>
      </c>
      <c r="Y96" s="21"/>
    </row>
    <row r="97" spans="2:25" ht="14.25">
      <c r="B97" s="9"/>
      <c r="C97" s="31" t="s">
        <v>77</v>
      </c>
      <c r="D97" s="31" t="s">
        <v>238</v>
      </c>
      <c r="E97" s="36">
        <f t="shared" ref="E97:X97" si="61">IF(AND(E73="",E80=""),"",IF(E73="",E80*E92,IF(E80="",E73*E87,(E73*E87)+(E80*E92))))</f>
        <v>4.1400000000000006</v>
      </c>
      <c r="F97" s="36">
        <f t="shared" si="61"/>
        <v>8.2800000000000011</v>
      </c>
      <c r="G97" s="36">
        <f t="shared" si="61"/>
        <v>15.06</v>
      </c>
      <c r="H97" s="36">
        <f t="shared" si="61"/>
        <v>14.75</v>
      </c>
      <c r="I97" s="36">
        <f t="shared" si="61"/>
        <v>13.919999999999998</v>
      </c>
      <c r="J97" s="36">
        <f t="shared" si="61"/>
        <v>15.7</v>
      </c>
      <c r="K97" s="36">
        <f t="shared" si="61"/>
        <v>5.65</v>
      </c>
      <c r="L97" s="36">
        <f t="shared" si="61"/>
        <v>3.3</v>
      </c>
      <c r="M97" s="36" t="str">
        <f t="shared" si="61"/>
        <v/>
      </c>
      <c r="N97" s="36" t="str">
        <f t="shared" si="61"/>
        <v/>
      </c>
      <c r="O97" s="36" t="str">
        <f t="shared" si="61"/>
        <v/>
      </c>
      <c r="P97" s="36" t="str">
        <f t="shared" si="61"/>
        <v/>
      </c>
      <c r="Q97" s="36" t="str">
        <f t="shared" si="61"/>
        <v/>
      </c>
      <c r="R97" s="36" t="str">
        <f t="shared" si="61"/>
        <v/>
      </c>
      <c r="S97" s="36" t="str">
        <f t="shared" si="61"/>
        <v/>
      </c>
      <c r="T97" s="36" t="str">
        <f t="shared" si="61"/>
        <v/>
      </c>
      <c r="U97" s="36" t="str">
        <f t="shared" si="61"/>
        <v/>
      </c>
      <c r="V97" s="36" t="str">
        <f t="shared" si="61"/>
        <v/>
      </c>
      <c r="W97" s="36" t="str">
        <f t="shared" si="61"/>
        <v/>
      </c>
      <c r="X97" s="36" t="str">
        <f t="shared" si="61"/>
        <v/>
      </c>
      <c r="Y97" s="21"/>
    </row>
    <row r="98" spans="2:25" ht="14.25">
      <c r="B98" s="9"/>
      <c r="C98" s="31" t="s">
        <v>78</v>
      </c>
      <c r="D98" s="31" t="s">
        <v>239</v>
      </c>
      <c r="E98" s="36">
        <f t="shared" ref="E98:X98" si="62">IF(AND(E74="",E81=""),"",IF(E74="",E81*E93,IF(E81="",E74*E88,(E74*E88)+(E81*E93))))</f>
        <v>2.625</v>
      </c>
      <c r="F98" s="36">
        <f t="shared" si="62"/>
        <v>5.25</v>
      </c>
      <c r="G98" s="36">
        <f t="shared" si="62"/>
        <v>7.875</v>
      </c>
      <c r="H98" s="36">
        <f t="shared" si="62"/>
        <v>7.875</v>
      </c>
      <c r="I98" s="36">
        <f t="shared" si="62"/>
        <v>10.5</v>
      </c>
      <c r="J98" s="36">
        <f t="shared" si="62"/>
        <v>5.25</v>
      </c>
      <c r="K98" s="36">
        <f t="shared" si="62"/>
        <v>2.625</v>
      </c>
      <c r="L98" s="36">
        <f t="shared" si="62"/>
        <v>0</v>
      </c>
      <c r="M98" s="36" t="str">
        <f t="shared" si="62"/>
        <v/>
      </c>
      <c r="N98" s="36" t="str">
        <f t="shared" si="62"/>
        <v/>
      </c>
      <c r="O98" s="36" t="str">
        <f t="shared" si="62"/>
        <v/>
      </c>
      <c r="P98" s="36" t="str">
        <f t="shared" si="62"/>
        <v/>
      </c>
      <c r="Q98" s="36" t="str">
        <f t="shared" si="62"/>
        <v/>
      </c>
      <c r="R98" s="36" t="str">
        <f t="shared" si="62"/>
        <v/>
      </c>
      <c r="S98" s="36" t="str">
        <f t="shared" si="62"/>
        <v/>
      </c>
      <c r="T98" s="36" t="str">
        <f t="shared" si="62"/>
        <v/>
      </c>
      <c r="U98" s="36" t="str">
        <f t="shared" si="62"/>
        <v/>
      </c>
      <c r="V98" s="36" t="str">
        <f t="shared" si="62"/>
        <v/>
      </c>
      <c r="W98" s="36" t="str">
        <f t="shared" si="62"/>
        <v/>
      </c>
      <c r="X98" s="36" t="str">
        <f t="shared" si="62"/>
        <v/>
      </c>
      <c r="Y98" s="21"/>
    </row>
    <row r="99" spans="2:25" ht="14.25">
      <c r="B99" s="9"/>
      <c r="C99" s="31" t="s">
        <v>79</v>
      </c>
      <c r="D99" s="31" t="s">
        <v>240</v>
      </c>
      <c r="E99" s="36" t="str">
        <f t="shared" ref="E99:X99" si="63">IF(AND(E75="",E82=""),"",IF(E75="",E82*E94,IF(E82="",E75*E89,(E75*E89)+(E82*E94))))</f>
        <v/>
      </c>
      <c r="F99" s="36" t="str">
        <f t="shared" si="63"/>
        <v/>
      </c>
      <c r="G99" s="36" t="str">
        <f t="shared" si="63"/>
        <v/>
      </c>
      <c r="H99" s="36" t="str">
        <f t="shared" si="63"/>
        <v/>
      </c>
      <c r="I99" s="36" t="str">
        <f t="shared" si="63"/>
        <v/>
      </c>
      <c r="J99" s="36" t="str">
        <f t="shared" si="63"/>
        <v/>
      </c>
      <c r="K99" s="36" t="str">
        <f t="shared" si="63"/>
        <v/>
      </c>
      <c r="L99" s="36" t="str">
        <f t="shared" si="63"/>
        <v/>
      </c>
      <c r="M99" s="36" t="str">
        <f t="shared" si="63"/>
        <v/>
      </c>
      <c r="N99" s="36" t="str">
        <f t="shared" si="63"/>
        <v/>
      </c>
      <c r="O99" s="36" t="str">
        <f t="shared" si="63"/>
        <v/>
      </c>
      <c r="P99" s="36" t="str">
        <f t="shared" si="63"/>
        <v/>
      </c>
      <c r="Q99" s="36" t="str">
        <f t="shared" si="63"/>
        <v/>
      </c>
      <c r="R99" s="36" t="str">
        <f t="shared" si="63"/>
        <v/>
      </c>
      <c r="S99" s="36" t="str">
        <f t="shared" si="63"/>
        <v/>
      </c>
      <c r="T99" s="36" t="str">
        <f t="shared" si="63"/>
        <v/>
      </c>
      <c r="U99" s="36" t="str">
        <f t="shared" si="63"/>
        <v/>
      </c>
      <c r="V99" s="36" t="str">
        <f t="shared" si="63"/>
        <v/>
      </c>
      <c r="W99" s="36" t="str">
        <f t="shared" si="63"/>
        <v/>
      </c>
      <c r="X99" s="36" t="str">
        <f t="shared" si="63"/>
        <v/>
      </c>
      <c r="Y99" s="21"/>
    </row>
    <row r="100" spans="2:25" ht="14.25">
      <c r="B100" s="9"/>
      <c r="C100" s="31" t="s">
        <v>80</v>
      </c>
      <c r="D100" s="31" t="s">
        <v>241</v>
      </c>
      <c r="E100" s="36" t="str">
        <f>IF(AND(E76="",E83=""),"",IF(E76="",E83*E94,IF(E83="",E76*E89,(E76*E89)+(E83*E94))))</f>
        <v/>
      </c>
      <c r="F100" s="36" t="str">
        <f t="shared" ref="F100:X100" si="64">IF(AND(F76="",F83=""),"",IF(F76="",F83*F94,IF(F83="",F76*F89,(F76*F89)+(F83*F94))))</f>
        <v/>
      </c>
      <c r="G100" s="36" t="str">
        <f t="shared" si="64"/>
        <v/>
      </c>
      <c r="H100" s="36" t="str">
        <f t="shared" si="64"/>
        <v/>
      </c>
      <c r="I100" s="36" t="str">
        <f t="shared" si="64"/>
        <v/>
      </c>
      <c r="J100" s="36" t="str">
        <f t="shared" si="64"/>
        <v/>
      </c>
      <c r="K100" s="36" t="str">
        <f t="shared" si="64"/>
        <v/>
      </c>
      <c r="L100" s="36" t="str">
        <f t="shared" si="64"/>
        <v/>
      </c>
      <c r="M100" s="36" t="str">
        <f t="shared" si="64"/>
        <v/>
      </c>
      <c r="N100" s="36" t="str">
        <f t="shared" si="64"/>
        <v/>
      </c>
      <c r="O100" s="36" t="str">
        <f t="shared" si="64"/>
        <v/>
      </c>
      <c r="P100" s="36" t="str">
        <f t="shared" si="64"/>
        <v/>
      </c>
      <c r="Q100" s="36" t="str">
        <f t="shared" si="64"/>
        <v/>
      </c>
      <c r="R100" s="36" t="str">
        <f t="shared" si="64"/>
        <v/>
      </c>
      <c r="S100" s="36" t="str">
        <f t="shared" si="64"/>
        <v/>
      </c>
      <c r="T100" s="36" t="str">
        <f t="shared" si="64"/>
        <v/>
      </c>
      <c r="U100" s="36" t="str">
        <f t="shared" si="64"/>
        <v/>
      </c>
      <c r="V100" s="36" t="str">
        <f t="shared" si="64"/>
        <v/>
      </c>
      <c r="W100" s="36" t="str">
        <f t="shared" si="64"/>
        <v/>
      </c>
      <c r="X100" s="36" t="str">
        <f t="shared" si="64"/>
        <v/>
      </c>
      <c r="Y100" s="21"/>
    </row>
    <row r="101" spans="2:25" ht="14.25">
      <c r="B101" s="9"/>
      <c r="C101" s="31" t="s">
        <v>81</v>
      </c>
      <c r="D101" s="31" t="s">
        <v>242</v>
      </c>
      <c r="E101" s="36" t="str">
        <f>IF(AND(E77="",E84=""),"",IF(E77="",E84*E94,IF(E84="",E77*E89,(E77*E89)+(E84*E94))))</f>
        <v/>
      </c>
      <c r="F101" s="36" t="str">
        <f t="shared" ref="F101:X101" si="65">IF(AND(F77="",F84=""),"",IF(F77="",F84*F94,IF(F84="",F77*F89,(F77*F89)+(F84*F94))))</f>
        <v/>
      </c>
      <c r="G101" s="36" t="str">
        <f t="shared" si="65"/>
        <v/>
      </c>
      <c r="H101" s="36" t="str">
        <f t="shared" si="65"/>
        <v/>
      </c>
      <c r="I101" s="36" t="str">
        <f t="shared" si="65"/>
        <v/>
      </c>
      <c r="J101" s="36" t="str">
        <f t="shared" si="65"/>
        <v/>
      </c>
      <c r="K101" s="36" t="str">
        <f t="shared" si="65"/>
        <v/>
      </c>
      <c r="L101" s="36" t="str">
        <f t="shared" si="65"/>
        <v/>
      </c>
      <c r="M101" s="36" t="str">
        <f t="shared" si="65"/>
        <v/>
      </c>
      <c r="N101" s="36" t="str">
        <f t="shared" si="65"/>
        <v/>
      </c>
      <c r="O101" s="36" t="str">
        <f t="shared" si="65"/>
        <v/>
      </c>
      <c r="P101" s="36" t="str">
        <f t="shared" si="65"/>
        <v/>
      </c>
      <c r="Q101" s="36" t="str">
        <f t="shared" si="65"/>
        <v/>
      </c>
      <c r="R101" s="36" t="str">
        <f t="shared" si="65"/>
        <v/>
      </c>
      <c r="S101" s="36" t="str">
        <f t="shared" si="65"/>
        <v/>
      </c>
      <c r="T101" s="36" t="str">
        <f t="shared" si="65"/>
        <v/>
      </c>
      <c r="U101" s="36" t="str">
        <f t="shared" si="65"/>
        <v/>
      </c>
      <c r="V101" s="36" t="str">
        <f t="shared" si="65"/>
        <v/>
      </c>
      <c r="W101" s="36" t="str">
        <f t="shared" si="65"/>
        <v/>
      </c>
      <c r="X101" s="36" t="str">
        <f t="shared" si="65"/>
        <v/>
      </c>
      <c r="Y101" s="21"/>
    </row>
    <row r="102" spans="2:25">
      <c r="B102" s="9"/>
      <c r="C102" s="31"/>
      <c r="D102" s="31"/>
      <c r="E102" s="36"/>
      <c r="F102" s="36"/>
      <c r="G102" s="36"/>
      <c r="H102" s="36"/>
      <c r="I102" s="36"/>
      <c r="J102" s="36"/>
      <c r="K102" s="36"/>
      <c r="L102" s="36"/>
      <c r="M102" s="36"/>
      <c r="N102" s="36"/>
      <c r="O102" s="36"/>
      <c r="P102" s="36"/>
      <c r="Q102" s="36"/>
      <c r="R102" s="36"/>
      <c r="S102" s="36"/>
      <c r="T102" s="36"/>
      <c r="U102" s="36"/>
      <c r="V102" s="36"/>
      <c r="W102" s="36"/>
      <c r="X102" s="36"/>
      <c r="Y102" s="21"/>
    </row>
    <row r="103" spans="2:25" ht="14.25">
      <c r="B103" s="9"/>
      <c r="C103" s="31" t="s">
        <v>82</v>
      </c>
      <c r="D103" s="31" t="s">
        <v>277</v>
      </c>
      <c r="E103" s="37">
        <f>IF(E61="","",MAX(E96:E98))</f>
        <v>4.1400000000000006</v>
      </c>
      <c r="F103" s="37">
        <f t="shared" ref="F103:X103" si="66">IF(F61="","",MAX(F96:F98))</f>
        <v>8.2800000000000011</v>
      </c>
      <c r="G103" s="37">
        <f t="shared" si="66"/>
        <v>16.2</v>
      </c>
      <c r="H103" s="37">
        <f t="shared" si="66"/>
        <v>20.25</v>
      </c>
      <c r="I103" s="37">
        <f t="shared" si="66"/>
        <v>13.919999999999998</v>
      </c>
      <c r="J103" s="37">
        <f t="shared" si="66"/>
        <v>24.3</v>
      </c>
      <c r="K103" s="37">
        <f t="shared" si="66"/>
        <v>8.1</v>
      </c>
      <c r="L103" s="37">
        <f t="shared" si="66"/>
        <v>6.0750000000000002</v>
      </c>
      <c r="M103" s="37" t="str">
        <f t="shared" si="66"/>
        <v/>
      </c>
      <c r="N103" s="37" t="str">
        <f t="shared" si="66"/>
        <v/>
      </c>
      <c r="O103" s="37" t="str">
        <f t="shared" si="66"/>
        <v/>
      </c>
      <c r="P103" s="37" t="str">
        <f t="shared" si="66"/>
        <v/>
      </c>
      <c r="Q103" s="37" t="str">
        <f t="shared" si="66"/>
        <v/>
      </c>
      <c r="R103" s="37" t="str">
        <f t="shared" si="66"/>
        <v/>
      </c>
      <c r="S103" s="37" t="str">
        <f t="shared" si="66"/>
        <v/>
      </c>
      <c r="T103" s="37" t="str">
        <f t="shared" si="66"/>
        <v/>
      </c>
      <c r="U103" s="37" t="str">
        <f t="shared" si="66"/>
        <v/>
      </c>
      <c r="V103" s="37" t="str">
        <f t="shared" si="66"/>
        <v/>
      </c>
      <c r="W103" s="37" t="str">
        <f t="shared" si="66"/>
        <v/>
      </c>
      <c r="X103" s="37" t="str">
        <f t="shared" si="66"/>
        <v/>
      </c>
      <c r="Y103" s="21"/>
    </row>
    <row r="104" spans="2:25" ht="14.25">
      <c r="B104" s="9"/>
      <c r="C104" s="31" t="s">
        <v>85</v>
      </c>
      <c r="D104" s="31" t="s">
        <v>276</v>
      </c>
      <c r="E104" s="36">
        <f>IF(E69="","",VLOOKUP(E69,Lookup!$G$18:$H$22,2,0))</f>
        <v>0</v>
      </c>
      <c r="F104" s="36">
        <f>IF(F69="","",VLOOKUP(F69,Lookup!$G$18:$H$22,2,0))</f>
        <v>0</v>
      </c>
      <c r="G104" s="36">
        <f>IF(G69="","",VLOOKUP(G69,Lookup!$G$18:$H$22,2,0))</f>
        <v>2</v>
      </c>
      <c r="H104" s="36">
        <f>IF(H69="","",VLOOKUP(H69,Lookup!$G$18:$H$22,2,0))</f>
        <v>2</v>
      </c>
      <c r="I104" s="36">
        <f>IF(I69="","",VLOOKUP(I69,Lookup!$G$18:$H$22,2,0))</f>
        <v>2</v>
      </c>
      <c r="J104" s="36">
        <f>IF(J69="","",VLOOKUP(J69,Lookup!$G$18:$H$22,2,0))</f>
        <v>2</v>
      </c>
      <c r="K104" s="36">
        <f>IF(K69="","",VLOOKUP(K69,Lookup!$G$18:$H$22,2,0))</f>
        <v>0</v>
      </c>
      <c r="L104" s="36">
        <f>IF(L69="","",VLOOKUP(L69,Lookup!$G$18:$H$22,2,0))</f>
        <v>0</v>
      </c>
      <c r="M104" s="36" t="str">
        <f>IF(M69="","",VLOOKUP(M69,Lookup!$G$18:$H$22,2,0))</f>
        <v/>
      </c>
      <c r="N104" s="36" t="str">
        <f>IF(N69="","",VLOOKUP(N69,Lookup!$G$18:$H$22,2,0))</f>
        <v/>
      </c>
      <c r="O104" s="36" t="str">
        <f>IF(O69="","",VLOOKUP(O69,Lookup!$G$18:$H$22,2,0))</f>
        <v/>
      </c>
      <c r="P104" s="36" t="str">
        <f>IF(P69="","",VLOOKUP(P69,Lookup!$G$18:$H$22,2,0))</f>
        <v/>
      </c>
      <c r="Q104" s="36" t="str">
        <f>IF(Q69="","",VLOOKUP(Q69,Lookup!$G$18:$H$22,2,0))</f>
        <v/>
      </c>
      <c r="R104" s="36" t="str">
        <f>IF(R69="","",VLOOKUP(R69,Lookup!$G$18:$H$22,2,0))</f>
        <v/>
      </c>
      <c r="S104" s="36" t="str">
        <f>IF(S69="","",VLOOKUP(S69,Lookup!$G$18:$H$22,2,0))</f>
        <v/>
      </c>
      <c r="T104" s="36" t="str">
        <f>IF(T69="","",VLOOKUP(T69,Lookup!$G$18:$H$22,2,0))</f>
        <v/>
      </c>
      <c r="U104" s="36" t="str">
        <f>IF(U69="","",VLOOKUP(U69,Lookup!$G$18:$H$22,2,0))</f>
        <v/>
      </c>
      <c r="V104" s="36" t="str">
        <f>IF(V69="","",VLOOKUP(V69,Lookup!$G$18:$H$22,2,0))</f>
        <v/>
      </c>
      <c r="W104" s="36" t="str">
        <f>IF(W69="","",VLOOKUP(W69,Lookup!$G$18:$H$22,2,0))</f>
        <v/>
      </c>
      <c r="X104" s="36" t="str">
        <f>IF(X69="","",VLOOKUP(X69,Lookup!$G$18:$H$22,2,0))</f>
        <v/>
      </c>
      <c r="Y104" s="21"/>
    </row>
    <row r="105" spans="2:25">
      <c r="B105" s="9"/>
      <c r="C105" s="10"/>
      <c r="D105" s="10"/>
      <c r="E105" s="20"/>
      <c r="F105" s="10"/>
      <c r="G105" s="10"/>
      <c r="H105" s="10"/>
      <c r="I105" s="10"/>
      <c r="J105" s="10"/>
      <c r="K105" s="10"/>
      <c r="L105" s="10"/>
      <c r="M105" s="10"/>
      <c r="N105" s="10"/>
      <c r="O105" s="10"/>
      <c r="P105" s="10"/>
      <c r="Q105" s="10"/>
      <c r="R105" s="10"/>
      <c r="S105" s="10"/>
      <c r="T105" s="10"/>
      <c r="U105" s="10"/>
      <c r="V105" s="10"/>
      <c r="W105" s="10"/>
      <c r="X105" s="10"/>
      <c r="Y105" s="21"/>
    </row>
    <row r="106" spans="2:25">
      <c r="B106" s="9"/>
      <c r="C106" s="17" t="s">
        <v>9</v>
      </c>
      <c r="D106" s="17"/>
      <c r="E106" s="30"/>
      <c r="F106" s="17"/>
      <c r="G106" s="17"/>
      <c r="H106" s="17"/>
      <c r="I106" s="17"/>
      <c r="J106" s="17"/>
      <c r="K106" s="17"/>
      <c r="L106" s="17"/>
      <c r="M106" s="17"/>
      <c r="N106" s="17"/>
      <c r="O106" s="17"/>
      <c r="P106" s="17"/>
      <c r="Q106" s="17"/>
      <c r="R106" s="17"/>
      <c r="S106" s="17"/>
      <c r="T106" s="17"/>
      <c r="U106" s="17"/>
      <c r="V106" s="17"/>
      <c r="W106" s="17"/>
      <c r="X106" s="17"/>
      <c r="Y106" s="21"/>
    </row>
    <row r="107" spans="2:25" ht="14.25">
      <c r="B107" s="9"/>
      <c r="C107" s="34" t="s">
        <v>87</v>
      </c>
      <c r="D107" s="34" t="s">
        <v>140</v>
      </c>
      <c r="E107" s="32">
        <f>IF(E80="","",E103+E104+E16)</f>
        <v>8.14</v>
      </c>
      <c r="F107" s="32">
        <f t="shared" ref="F107:X107" si="67">IF(F80="","",F103+F104+F16)</f>
        <v>12.280000000000001</v>
      </c>
      <c r="G107" s="32">
        <f t="shared" si="67"/>
        <v>22.2</v>
      </c>
      <c r="H107" s="32">
        <f t="shared" si="67"/>
        <v>26.25</v>
      </c>
      <c r="I107" s="32">
        <f t="shared" si="67"/>
        <v>19.919999999999998</v>
      </c>
      <c r="J107" s="32">
        <f t="shared" si="67"/>
        <v>30.3</v>
      </c>
      <c r="K107" s="32">
        <f t="shared" si="67"/>
        <v>12.1</v>
      </c>
      <c r="L107" s="32">
        <f t="shared" si="67"/>
        <v>10.074999999999999</v>
      </c>
      <c r="M107" s="32" t="str">
        <f t="shared" si="67"/>
        <v/>
      </c>
      <c r="N107" s="32" t="str">
        <f t="shared" si="67"/>
        <v/>
      </c>
      <c r="O107" s="32" t="str">
        <f t="shared" si="67"/>
        <v/>
      </c>
      <c r="P107" s="32" t="str">
        <f t="shared" si="67"/>
        <v/>
      </c>
      <c r="Q107" s="32" t="str">
        <f t="shared" si="67"/>
        <v/>
      </c>
      <c r="R107" s="32" t="str">
        <f t="shared" si="67"/>
        <v/>
      </c>
      <c r="S107" s="32" t="str">
        <f t="shared" si="67"/>
        <v/>
      </c>
      <c r="T107" s="32" t="str">
        <f t="shared" si="67"/>
        <v/>
      </c>
      <c r="U107" s="32" t="str">
        <f t="shared" si="67"/>
        <v/>
      </c>
      <c r="V107" s="32" t="str">
        <f t="shared" si="67"/>
        <v/>
      </c>
      <c r="W107" s="32" t="str">
        <f t="shared" si="67"/>
        <v/>
      </c>
      <c r="X107" s="32" t="str">
        <f t="shared" si="67"/>
        <v/>
      </c>
      <c r="Y107" s="21"/>
    </row>
    <row r="108" spans="2:25" ht="13.5" thickBot="1">
      <c r="B108" s="22"/>
      <c r="C108" s="23"/>
      <c r="D108" s="23"/>
      <c r="E108" s="23"/>
      <c r="F108" s="23"/>
      <c r="G108" s="23"/>
      <c r="H108" s="23"/>
      <c r="I108" s="23"/>
      <c r="J108" s="23"/>
      <c r="K108" s="23"/>
      <c r="L108" s="23"/>
      <c r="M108" s="23"/>
      <c r="N108" s="23"/>
      <c r="O108" s="23"/>
      <c r="P108" s="23"/>
      <c r="Q108" s="23"/>
      <c r="R108" s="23"/>
      <c r="S108" s="23"/>
      <c r="T108" s="23"/>
      <c r="U108" s="23"/>
      <c r="V108" s="23"/>
      <c r="W108" s="23"/>
      <c r="X108" s="23"/>
      <c r="Y108" s="24"/>
    </row>
  </sheetData>
  <dataValidations count="2">
    <dataValidation type="decimal" allowBlank="1" showInputMessage="1" showErrorMessage="1" sqref="E15:X15 E67:X67">
      <formula1>0</formula1>
      <formula2>1</formula2>
    </dataValidation>
    <dataValidation type="whole" allowBlank="1" showInputMessage="1" showErrorMessage="1" sqref="E13:X13 E65:X65">
      <formula1>1</formula1>
      <formula2>20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Lookup!$R$58:$R$65</xm:f>
          </x14:formula1>
          <xm:sqref>E10:X10 E62:X62</xm:sqref>
        </x14:dataValidation>
        <x14:dataValidation type="list" allowBlank="1" showInputMessage="1" showErrorMessage="1">
          <x14:formula1>
            <xm:f>Lookup!$G$18:$G$22</xm:f>
          </x14:formula1>
          <xm:sqref>E17:X17 E69:X69</xm:sqref>
        </x14:dataValidation>
        <x14:dataValidation type="list" allowBlank="1" showInputMessage="1" showErrorMessage="1">
          <x14:formula1>
            <xm:f>Lookup!#REF!</xm:f>
          </x14:formula1>
          <xm:sqref>E66:X66</xm:sqref>
        </x14:dataValidation>
        <x14:dataValidation type="list" allowBlank="1" showInputMessage="1" showErrorMessage="1">
          <x14:formula1>
            <xm:f>Lookup!$G$12:$G$15</xm:f>
          </x14:formula1>
          <xm:sqref>E14:X14</xm:sqref>
        </x14:dataValidation>
        <x14:dataValidation type="list" allowBlank="1" showInputMessage="1" showErrorMessage="1">
          <x14:formula1>
            <xm:f>Lookup!$R$67:$R$69</xm:f>
          </x14:formula1>
          <xm:sqref>E11:X11 E63:X63</xm:sqref>
        </x14:dataValidation>
        <x14:dataValidation type="list" allowBlank="1" showInputMessage="1" showErrorMessage="1">
          <x14:formula1>
            <xm:f>Lookup!$R$34:$R$37</xm:f>
          </x14:formula1>
          <xm:sqref>M9:X9 M61:X61</xm:sqref>
        </x14:dataValidation>
        <x14:dataValidation type="list" allowBlank="1" showInputMessage="1" showErrorMessage="1">
          <x14:formula1>
            <xm:f>Lookup!$R$27:$R$28</xm:f>
          </x14:formula1>
          <xm:sqref>E12:X12 E64:X64</xm:sqref>
        </x14:dataValidation>
        <x14:dataValidation type="list" allowBlank="1" showInputMessage="1" showErrorMessage="1">
          <x14:formula1>
            <xm:f>Lookup!$R$34:$R$35</xm:f>
          </x14:formula1>
          <xm:sqref>E9:L9 E61:L61</xm:sqref>
        </x14:dataValidation>
      </x14:dataValidations>
    </ext>
  </extLst>
</worksheet>
</file>

<file path=xl/worksheets/sheet3.xml><?xml version="1.0" encoding="utf-8"?>
<worksheet xmlns="http://schemas.openxmlformats.org/spreadsheetml/2006/main" xmlns:r="http://schemas.openxmlformats.org/officeDocument/2006/relationships">
  <sheetPr codeName="Sheet3"/>
  <dimension ref="B1:Y104"/>
  <sheetViews>
    <sheetView zoomScale="90" zoomScaleNormal="90" workbookViewId="0">
      <pane xSplit="4" ySplit="6" topLeftCell="E7" activePane="bottomRight" state="frozen"/>
      <selection pane="topRight" activeCell="E1" sqref="E1"/>
      <selection pane="bottomLeft" activeCell="A7" sqref="A7"/>
      <selection pane="bottomRight" activeCell="C16" sqref="C16"/>
    </sheetView>
  </sheetViews>
  <sheetFormatPr defaultRowHeight="12.75"/>
  <cols>
    <col min="1" max="2" width="4.85546875" customWidth="1"/>
    <col min="3" max="3" width="5.140625" customWidth="1"/>
    <col min="4" max="4" width="54.5703125" customWidth="1"/>
    <col min="25" max="25" width="4" customWidth="1"/>
  </cols>
  <sheetData>
    <row r="1" spans="2:25" ht="13.5" thickBot="1"/>
    <row r="2" spans="2:25">
      <c r="B2" s="6"/>
      <c r="C2" s="7"/>
      <c r="D2" s="7"/>
      <c r="E2" s="7"/>
      <c r="F2" s="7"/>
      <c r="G2" s="7"/>
      <c r="H2" s="7"/>
      <c r="I2" s="7"/>
      <c r="J2" s="7"/>
      <c r="K2" s="7"/>
      <c r="L2" s="7"/>
      <c r="M2" s="7"/>
      <c r="N2" s="7"/>
      <c r="O2" s="7"/>
      <c r="P2" s="7"/>
      <c r="Q2" s="7"/>
      <c r="R2" s="7"/>
      <c r="S2" s="7"/>
      <c r="T2" s="7"/>
      <c r="U2" s="7"/>
      <c r="V2" s="7"/>
      <c r="W2" s="7"/>
      <c r="X2" s="7"/>
      <c r="Y2" s="8"/>
    </row>
    <row r="3" spans="2:25" ht="15.75">
      <c r="B3" s="9"/>
      <c r="C3" s="27" t="s">
        <v>183</v>
      </c>
      <c r="D3" s="18"/>
      <c r="E3" s="18"/>
      <c r="F3" s="28"/>
      <c r="G3" s="28"/>
      <c r="H3" s="28"/>
      <c r="I3" s="28"/>
      <c r="J3" s="28"/>
      <c r="K3" s="28"/>
      <c r="L3" s="28"/>
      <c r="M3" s="28"/>
      <c r="N3" s="28"/>
      <c r="O3" s="28"/>
      <c r="P3" s="28"/>
      <c r="Q3" s="28"/>
      <c r="R3" s="28"/>
      <c r="S3" s="28"/>
      <c r="T3" s="28"/>
      <c r="U3" s="28"/>
      <c r="V3" s="28"/>
      <c r="W3" s="28"/>
      <c r="X3" s="28"/>
      <c r="Y3" s="21"/>
    </row>
    <row r="4" spans="2:25">
      <c r="B4" s="9"/>
      <c r="C4" s="10"/>
      <c r="D4" s="10"/>
      <c r="E4" s="10"/>
      <c r="F4" s="13"/>
      <c r="G4" s="13"/>
      <c r="H4" s="13"/>
      <c r="I4" s="13"/>
      <c r="J4" s="13"/>
      <c r="K4" s="13"/>
      <c r="L4" s="13"/>
      <c r="M4" s="13"/>
      <c r="N4" s="13"/>
      <c r="O4" s="13"/>
      <c r="P4" s="13"/>
      <c r="Q4" s="13"/>
      <c r="R4" s="13"/>
      <c r="S4" s="13"/>
      <c r="T4" s="13"/>
      <c r="U4" s="13"/>
      <c r="V4" s="13"/>
      <c r="W4" s="13"/>
      <c r="X4" s="13"/>
      <c r="Y4" s="21"/>
    </row>
    <row r="5" spans="2:25" ht="15.75">
      <c r="B5" s="9"/>
      <c r="C5" s="25" t="s">
        <v>23</v>
      </c>
      <c r="D5" s="10"/>
      <c r="F5" s="10"/>
      <c r="G5" s="10"/>
      <c r="H5" s="10"/>
      <c r="I5" s="10"/>
      <c r="J5" s="10"/>
      <c r="K5" s="10"/>
      <c r="L5" s="10"/>
      <c r="M5" s="10"/>
      <c r="N5" s="10"/>
      <c r="O5" s="10"/>
      <c r="P5" s="10"/>
      <c r="Q5" s="10"/>
      <c r="R5" s="10"/>
      <c r="S5" s="10"/>
      <c r="T5" s="10"/>
      <c r="U5" s="10"/>
      <c r="V5" s="10"/>
      <c r="W5" s="10"/>
      <c r="X5" s="10"/>
      <c r="Y5" s="21"/>
    </row>
    <row r="6" spans="2:25">
      <c r="B6" s="9"/>
      <c r="C6" s="17" t="s">
        <v>7</v>
      </c>
      <c r="D6" s="17"/>
      <c r="E6" s="43">
        <v>1</v>
      </c>
      <c r="F6" s="43">
        <v>2</v>
      </c>
      <c r="G6" s="43">
        <v>3</v>
      </c>
      <c r="H6" s="43">
        <v>4</v>
      </c>
      <c r="I6" s="43">
        <v>5</v>
      </c>
      <c r="J6" s="43">
        <v>6</v>
      </c>
      <c r="K6" s="43">
        <v>7</v>
      </c>
      <c r="L6" s="43">
        <v>8</v>
      </c>
      <c r="M6" s="43">
        <v>9</v>
      </c>
      <c r="N6" s="43">
        <v>10</v>
      </c>
      <c r="O6" s="43">
        <v>11</v>
      </c>
      <c r="P6" s="43">
        <v>12</v>
      </c>
      <c r="Q6" s="43">
        <v>13</v>
      </c>
      <c r="R6" s="43">
        <v>14</v>
      </c>
      <c r="S6" s="43">
        <v>15</v>
      </c>
      <c r="T6" s="43">
        <v>16</v>
      </c>
      <c r="U6" s="43">
        <v>17</v>
      </c>
      <c r="V6" s="43">
        <v>18</v>
      </c>
      <c r="W6" s="43">
        <v>19</v>
      </c>
      <c r="X6" s="43">
        <v>20</v>
      </c>
      <c r="Y6" s="21"/>
    </row>
    <row r="7" spans="2:25" ht="14.25">
      <c r="B7" s="9"/>
      <c r="C7" s="38" t="s">
        <v>17</v>
      </c>
      <c r="D7" s="39" t="s">
        <v>13</v>
      </c>
      <c r="E7" s="42">
        <v>0.6</v>
      </c>
      <c r="F7" s="42">
        <v>0.6</v>
      </c>
      <c r="G7" s="42">
        <v>0.6</v>
      </c>
      <c r="H7" s="42">
        <v>0.6</v>
      </c>
      <c r="I7" s="42">
        <v>0.6</v>
      </c>
      <c r="J7" s="42">
        <v>0.6</v>
      </c>
      <c r="K7" s="42">
        <v>0.6</v>
      </c>
      <c r="L7" s="42">
        <v>0.6</v>
      </c>
      <c r="M7" s="42"/>
      <c r="N7" s="42"/>
      <c r="O7" s="42"/>
      <c r="P7" s="42"/>
      <c r="Q7" s="42"/>
      <c r="R7" s="42"/>
      <c r="S7" s="42"/>
      <c r="T7" s="42"/>
      <c r="U7" s="42"/>
      <c r="V7" s="42"/>
      <c r="W7" s="42"/>
      <c r="X7" s="42"/>
      <c r="Y7" s="21"/>
    </row>
    <row r="8" spans="2:25">
      <c r="B8" s="9"/>
      <c r="C8" s="38"/>
      <c r="D8" s="39" t="s">
        <v>0</v>
      </c>
      <c r="E8" s="40">
        <v>0.15</v>
      </c>
      <c r="F8" s="40">
        <v>0.15</v>
      </c>
      <c r="G8" s="40">
        <v>0.15</v>
      </c>
      <c r="H8" s="40">
        <v>0.25</v>
      </c>
      <c r="I8" s="40">
        <v>0.15</v>
      </c>
      <c r="J8" s="40">
        <v>0.15</v>
      </c>
      <c r="K8" s="40">
        <v>0.15</v>
      </c>
      <c r="L8" s="40">
        <v>0.15</v>
      </c>
      <c r="M8" s="40"/>
      <c r="N8" s="40"/>
      <c r="O8" s="40"/>
      <c r="P8" s="40"/>
      <c r="Q8" s="40"/>
      <c r="R8" s="40"/>
      <c r="S8" s="40"/>
      <c r="T8" s="40"/>
      <c r="U8" s="40"/>
      <c r="V8" s="40"/>
      <c r="W8" s="40"/>
      <c r="X8" s="40"/>
      <c r="Y8" s="21"/>
    </row>
    <row r="9" spans="2:25" ht="14.25">
      <c r="B9" s="9"/>
      <c r="C9" s="38" t="s">
        <v>18</v>
      </c>
      <c r="D9" s="39" t="s">
        <v>128</v>
      </c>
      <c r="E9" s="62">
        <v>20</v>
      </c>
      <c r="F9" s="62">
        <v>28</v>
      </c>
      <c r="G9" s="62">
        <v>52</v>
      </c>
      <c r="H9" s="62">
        <v>38</v>
      </c>
      <c r="I9" s="62">
        <v>60</v>
      </c>
      <c r="J9" s="62">
        <v>44</v>
      </c>
      <c r="K9" s="62">
        <v>20</v>
      </c>
      <c r="L9" s="62">
        <v>32</v>
      </c>
      <c r="M9" s="62"/>
      <c r="N9" s="62"/>
      <c r="O9" s="62"/>
      <c r="P9" s="62"/>
      <c r="Q9" s="62"/>
      <c r="R9" s="62"/>
      <c r="S9" s="62"/>
      <c r="T9" s="62"/>
      <c r="U9" s="62"/>
      <c r="V9" s="62"/>
      <c r="W9" s="62"/>
      <c r="X9" s="62"/>
      <c r="Y9" s="21"/>
    </row>
    <row r="10" spans="2:25">
      <c r="B10" s="9"/>
      <c r="C10" s="38" t="s">
        <v>15</v>
      </c>
      <c r="D10" s="38" t="s">
        <v>16</v>
      </c>
      <c r="E10" s="42">
        <v>0.45</v>
      </c>
      <c r="F10" s="42">
        <v>0.45</v>
      </c>
      <c r="G10" s="42">
        <v>0.45</v>
      </c>
      <c r="H10" s="42">
        <v>0.45</v>
      </c>
      <c r="I10" s="42">
        <v>0.45</v>
      </c>
      <c r="J10" s="42">
        <v>0.45</v>
      </c>
      <c r="K10" s="42">
        <v>0.45</v>
      </c>
      <c r="L10" s="42">
        <v>0.45</v>
      </c>
      <c r="M10" s="42"/>
      <c r="N10" s="42"/>
      <c r="O10" s="42"/>
      <c r="P10" s="42"/>
      <c r="Q10" s="42"/>
      <c r="R10" s="42"/>
      <c r="S10" s="42"/>
      <c r="T10" s="42"/>
      <c r="U10" s="42"/>
      <c r="V10" s="42"/>
      <c r="W10" s="42"/>
      <c r="X10" s="42"/>
      <c r="Y10" s="21"/>
    </row>
    <row r="11" spans="2:25">
      <c r="B11" s="9"/>
      <c r="C11" s="38" t="s">
        <v>142</v>
      </c>
      <c r="D11" s="38" t="s">
        <v>143</v>
      </c>
      <c r="E11" s="62">
        <v>80</v>
      </c>
      <c r="F11" s="62">
        <v>80</v>
      </c>
      <c r="G11" s="62">
        <v>80</v>
      </c>
      <c r="H11" s="62">
        <v>80</v>
      </c>
      <c r="I11" s="62">
        <v>80</v>
      </c>
      <c r="J11" s="62">
        <v>80</v>
      </c>
      <c r="K11" s="62">
        <v>80</v>
      </c>
      <c r="L11" s="62">
        <v>80</v>
      </c>
      <c r="M11" s="62"/>
      <c r="N11" s="62"/>
      <c r="O11" s="62"/>
      <c r="P11" s="62"/>
      <c r="Q11" s="62"/>
      <c r="R11" s="62"/>
      <c r="S11" s="62"/>
      <c r="T11" s="62"/>
      <c r="U11" s="62"/>
      <c r="V11" s="62"/>
      <c r="W11" s="62"/>
      <c r="X11" s="62"/>
      <c r="Y11" s="21"/>
    </row>
    <row r="12" spans="2:25">
      <c r="B12" s="9"/>
      <c r="C12" s="38"/>
      <c r="D12" s="38" t="s">
        <v>26</v>
      </c>
      <c r="E12" s="41" t="s">
        <v>1</v>
      </c>
      <c r="F12" s="41" t="s">
        <v>1</v>
      </c>
      <c r="G12" s="41" t="s">
        <v>1</v>
      </c>
      <c r="H12" s="41" t="s">
        <v>1</v>
      </c>
      <c r="I12" s="41" t="s">
        <v>1</v>
      </c>
      <c r="J12" s="41" t="s">
        <v>1</v>
      </c>
      <c r="K12" s="41" t="s">
        <v>1</v>
      </c>
      <c r="L12" s="41" t="s">
        <v>1</v>
      </c>
      <c r="M12" s="41"/>
      <c r="N12" s="41"/>
      <c r="O12" s="41"/>
      <c r="P12" s="41"/>
      <c r="Q12" s="41"/>
      <c r="R12" s="41"/>
      <c r="S12" s="41"/>
      <c r="T12" s="41"/>
      <c r="U12" s="41"/>
      <c r="V12" s="41"/>
      <c r="W12" s="41"/>
      <c r="X12" s="41"/>
      <c r="Y12" s="21"/>
    </row>
    <row r="13" spans="2:25" ht="25.5" customHeight="1">
      <c r="B13" s="9"/>
      <c r="C13" s="38"/>
      <c r="D13" s="65" t="s">
        <v>169</v>
      </c>
      <c r="E13" s="66" t="s">
        <v>164</v>
      </c>
      <c r="F13" s="66" t="s">
        <v>164</v>
      </c>
      <c r="G13" s="66" t="s">
        <v>164</v>
      </c>
      <c r="H13" s="66" t="s">
        <v>164</v>
      </c>
      <c r="I13" s="66" t="s">
        <v>164</v>
      </c>
      <c r="J13" s="66" t="s">
        <v>164</v>
      </c>
      <c r="K13" s="66" t="s">
        <v>164</v>
      </c>
      <c r="L13" s="66" t="s">
        <v>164</v>
      </c>
      <c r="M13" s="41"/>
      <c r="N13" s="41"/>
      <c r="O13" s="41"/>
      <c r="P13" s="41"/>
      <c r="Q13" s="41"/>
      <c r="R13" s="41"/>
      <c r="S13" s="41"/>
      <c r="T13" s="41"/>
      <c r="U13" s="41"/>
      <c r="V13" s="41"/>
      <c r="W13" s="41"/>
      <c r="X13" s="41"/>
      <c r="Y13" s="21"/>
    </row>
    <row r="14" spans="2:25" s="68" customFormat="1" ht="25.5" customHeight="1">
      <c r="B14" s="64"/>
      <c r="C14" s="65"/>
      <c r="D14" s="65" t="s">
        <v>163</v>
      </c>
      <c r="E14" s="66" t="s">
        <v>29</v>
      </c>
      <c r="F14" s="66" t="s">
        <v>29</v>
      </c>
      <c r="G14" s="66" t="s">
        <v>29</v>
      </c>
      <c r="H14" s="66" t="s">
        <v>29</v>
      </c>
      <c r="I14" s="66" t="s">
        <v>29</v>
      </c>
      <c r="J14" s="66" t="s">
        <v>29</v>
      </c>
      <c r="K14" s="66" t="s">
        <v>29</v>
      </c>
      <c r="L14" s="66" t="s">
        <v>29</v>
      </c>
      <c r="M14" s="66"/>
      <c r="N14" s="66"/>
      <c r="O14" s="66"/>
      <c r="P14" s="66"/>
      <c r="Q14" s="66"/>
      <c r="R14" s="66"/>
      <c r="S14" s="66"/>
      <c r="T14" s="66"/>
      <c r="U14" s="66"/>
      <c r="V14" s="66"/>
      <c r="W14" s="66"/>
      <c r="X14" s="66"/>
      <c r="Y14" s="67"/>
    </row>
    <row r="15" spans="2:25" s="68" customFormat="1" ht="12.75" customHeight="1">
      <c r="B15" s="64"/>
      <c r="C15" s="65"/>
      <c r="D15" s="65" t="s">
        <v>158</v>
      </c>
      <c r="E15" s="66"/>
      <c r="F15" s="66"/>
      <c r="G15" s="66"/>
      <c r="H15" s="66"/>
      <c r="I15" s="66"/>
      <c r="J15" s="66"/>
      <c r="K15" s="66"/>
      <c r="L15" s="66"/>
      <c r="M15" s="66"/>
      <c r="N15" s="66"/>
      <c r="O15" s="66"/>
      <c r="P15" s="66"/>
      <c r="Q15" s="66"/>
      <c r="R15" s="66"/>
      <c r="S15" s="66"/>
      <c r="T15" s="66"/>
      <c r="U15" s="66"/>
      <c r="V15" s="66"/>
      <c r="W15" s="66"/>
      <c r="X15" s="66"/>
      <c r="Y15" s="67"/>
    </row>
    <row r="16" spans="2:25">
      <c r="B16" s="9"/>
      <c r="C16" s="38" t="s">
        <v>27</v>
      </c>
      <c r="D16" s="38" t="s">
        <v>171</v>
      </c>
      <c r="E16" s="41">
        <v>101</v>
      </c>
      <c r="F16" s="41">
        <v>136</v>
      </c>
      <c r="G16" s="41">
        <v>26</v>
      </c>
      <c r="H16" s="41">
        <v>186</v>
      </c>
      <c r="I16" s="41">
        <v>26</v>
      </c>
      <c r="J16" s="41">
        <v>86</v>
      </c>
      <c r="K16" s="41">
        <v>106</v>
      </c>
      <c r="L16" s="41">
        <v>101</v>
      </c>
      <c r="M16" s="41"/>
      <c r="N16" s="41"/>
      <c r="O16" s="41"/>
      <c r="P16" s="41"/>
      <c r="Q16" s="41"/>
      <c r="R16" s="41"/>
      <c r="S16" s="41"/>
      <c r="T16" s="41"/>
      <c r="U16" s="41"/>
      <c r="V16" s="41"/>
      <c r="W16" s="41"/>
      <c r="X16" s="41"/>
      <c r="Y16" s="21"/>
    </row>
    <row r="17" spans="2:25" ht="14.25">
      <c r="B17" s="9"/>
      <c r="C17" s="38" t="s">
        <v>172</v>
      </c>
      <c r="D17" s="38" t="s">
        <v>173</v>
      </c>
      <c r="E17" s="41">
        <v>75</v>
      </c>
      <c r="F17" s="41">
        <v>110</v>
      </c>
      <c r="G17" s="41">
        <v>0</v>
      </c>
      <c r="H17" s="41">
        <v>160</v>
      </c>
      <c r="I17" s="41">
        <v>0</v>
      </c>
      <c r="J17" s="41">
        <v>60</v>
      </c>
      <c r="K17" s="41">
        <v>80</v>
      </c>
      <c r="L17" s="41">
        <v>75</v>
      </c>
      <c r="M17" s="41"/>
      <c r="N17" s="41"/>
      <c r="O17" s="41"/>
      <c r="P17" s="41"/>
      <c r="Q17" s="41"/>
      <c r="R17" s="41"/>
      <c r="S17" s="41"/>
      <c r="T17" s="41"/>
      <c r="U17" s="41"/>
      <c r="V17" s="41"/>
      <c r="W17" s="41"/>
      <c r="X17" s="41"/>
      <c r="Y17" s="21"/>
    </row>
    <row r="18" spans="2:25" ht="14.25">
      <c r="B18" s="9"/>
      <c r="C18" s="38" t="s">
        <v>177</v>
      </c>
      <c r="D18" s="38" t="s">
        <v>178</v>
      </c>
      <c r="E18" s="41">
        <v>40</v>
      </c>
      <c r="F18" s="41">
        <v>70</v>
      </c>
      <c r="G18" s="41">
        <v>140</v>
      </c>
      <c r="H18" s="41">
        <v>120</v>
      </c>
      <c r="I18" s="41">
        <v>280</v>
      </c>
      <c r="J18" s="41">
        <v>400</v>
      </c>
      <c r="K18" s="41">
        <v>120</v>
      </c>
      <c r="L18" s="41">
        <v>80</v>
      </c>
      <c r="M18" s="41"/>
      <c r="N18" s="41"/>
      <c r="O18" s="41"/>
      <c r="P18" s="41"/>
      <c r="Q18" s="41"/>
      <c r="R18" s="41"/>
      <c r="S18" s="41"/>
      <c r="T18" s="41"/>
      <c r="U18" s="41"/>
      <c r="V18" s="41"/>
      <c r="W18" s="41"/>
      <c r="X18" s="41"/>
      <c r="Y18" s="21"/>
    </row>
    <row r="19" spans="2:25">
      <c r="B19" s="9"/>
      <c r="C19" s="38"/>
      <c r="D19" s="38" t="s">
        <v>54</v>
      </c>
      <c r="E19" s="41" t="s">
        <v>4</v>
      </c>
      <c r="F19" s="41" t="s">
        <v>4</v>
      </c>
      <c r="G19" s="41" t="s">
        <v>4</v>
      </c>
      <c r="H19" s="41" t="s">
        <v>4</v>
      </c>
      <c r="I19" s="41" t="s">
        <v>4</v>
      </c>
      <c r="J19" s="41" t="s">
        <v>4</v>
      </c>
      <c r="K19" s="41" t="s">
        <v>4</v>
      </c>
      <c r="L19" s="41" t="s">
        <v>4</v>
      </c>
      <c r="M19" s="41"/>
      <c r="N19" s="41"/>
      <c r="O19" s="41"/>
      <c r="P19" s="41"/>
      <c r="Q19" s="41"/>
      <c r="R19" s="41"/>
      <c r="S19" s="41"/>
      <c r="T19" s="41"/>
      <c r="U19" s="41"/>
      <c r="V19" s="41"/>
      <c r="W19" s="41"/>
      <c r="X19" s="41"/>
      <c r="Y19" s="21"/>
    </row>
    <row r="20" spans="2:25" ht="14.25">
      <c r="B20" s="9"/>
      <c r="C20" s="38" t="s">
        <v>157</v>
      </c>
      <c r="D20" s="38" t="s">
        <v>50</v>
      </c>
      <c r="E20" s="41">
        <v>1</v>
      </c>
      <c r="F20" s="41">
        <v>1</v>
      </c>
      <c r="G20" s="41">
        <v>2</v>
      </c>
      <c r="H20" s="41">
        <v>2</v>
      </c>
      <c r="I20" s="41">
        <v>2</v>
      </c>
      <c r="J20" s="41">
        <v>2</v>
      </c>
      <c r="K20" s="41">
        <v>1</v>
      </c>
      <c r="L20" s="41">
        <v>1</v>
      </c>
      <c r="M20" s="41"/>
      <c r="N20" s="41"/>
      <c r="O20" s="41"/>
      <c r="P20" s="41"/>
      <c r="Q20" s="41"/>
      <c r="R20" s="41"/>
      <c r="S20" s="41"/>
      <c r="T20" s="41"/>
      <c r="U20" s="41"/>
      <c r="V20" s="41"/>
      <c r="W20" s="41"/>
      <c r="X20" s="41"/>
      <c r="Y20" s="21"/>
    </row>
    <row r="21" spans="2:25">
      <c r="B21" s="9"/>
      <c r="C21" s="38"/>
      <c r="D21" s="38" t="s">
        <v>51</v>
      </c>
      <c r="E21" s="41" t="s">
        <v>52</v>
      </c>
      <c r="F21" s="41" t="s">
        <v>52</v>
      </c>
      <c r="G21" s="41" t="s">
        <v>52</v>
      </c>
      <c r="H21" s="41" t="s">
        <v>52</v>
      </c>
      <c r="I21" s="41" t="s">
        <v>52</v>
      </c>
      <c r="J21" s="41" t="s">
        <v>52</v>
      </c>
      <c r="K21" s="41" t="s">
        <v>52</v>
      </c>
      <c r="L21" s="41" t="s">
        <v>52</v>
      </c>
      <c r="M21" s="41"/>
      <c r="N21" s="41"/>
      <c r="O21" s="41"/>
      <c r="P21" s="41"/>
      <c r="Q21" s="41"/>
      <c r="R21" s="41"/>
      <c r="S21" s="41"/>
      <c r="T21" s="41"/>
      <c r="U21" s="41"/>
      <c r="V21" s="41"/>
      <c r="W21" s="41"/>
      <c r="X21" s="41"/>
      <c r="Y21" s="21"/>
    </row>
    <row r="22" spans="2:25">
      <c r="B22" s="9"/>
      <c r="C22" s="38"/>
      <c r="D22" s="38" t="s">
        <v>32</v>
      </c>
      <c r="E22" s="41">
        <v>2</v>
      </c>
      <c r="F22" s="41">
        <v>2</v>
      </c>
      <c r="G22" s="41">
        <v>2</v>
      </c>
      <c r="H22" s="41">
        <v>2</v>
      </c>
      <c r="I22" s="41">
        <v>2</v>
      </c>
      <c r="J22" s="41">
        <v>2</v>
      </c>
      <c r="K22" s="41">
        <v>2</v>
      </c>
      <c r="L22" s="41">
        <v>2</v>
      </c>
      <c r="M22" s="41">
        <v>3</v>
      </c>
      <c r="N22" s="41">
        <v>3</v>
      </c>
      <c r="O22" s="41">
        <v>2</v>
      </c>
      <c r="P22" s="41">
        <v>2</v>
      </c>
      <c r="Q22" s="41">
        <v>2</v>
      </c>
      <c r="R22" s="41">
        <v>2</v>
      </c>
      <c r="S22" s="41">
        <v>2</v>
      </c>
      <c r="T22" s="41">
        <v>2</v>
      </c>
      <c r="U22" s="41">
        <v>2</v>
      </c>
      <c r="V22" s="41">
        <v>2</v>
      </c>
      <c r="W22" s="41">
        <v>2</v>
      </c>
      <c r="X22" s="41">
        <v>2</v>
      </c>
      <c r="Y22" s="21"/>
    </row>
    <row r="23" spans="2:25">
      <c r="B23" s="9"/>
      <c r="C23" s="10"/>
      <c r="D23" s="10"/>
      <c r="E23" s="19"/>
      <c r="F23" s="10"/>
      <c r="G23" s="10"/>
      <c r="H23" s="10"/>
      <c r="I23" s="10"/>
      <c r="J23" s="10"/>
      <c r="K23" s="10"/>
      <c r="L23" s="10"/>
      <c r="M23" s="10"/>
      <c r="N23" s="10"/>
      <c r="O23" s="10"/>
      <c r="P23" s="10"/>
      <c r="Q23" s="10"/>
      <c r="R23" s="10"/>
      <c r="S23" s="10"/>
      <c r="T23" s="10"/>
      <c r="U23" s="10"/>
      <c r="V23" s="10"/>
      <c r="W23" s="10"/>
      <c r="X23" s="10"/>
      <c r="Y23" s="21"/>
    </row>
    <row r="24" spans="2:25">
      <c r="B24" s="9"/>
      <c r="C24" s="17" t="s">
        <v>8</v>
      </c>
      <c r="D24" s="26"/>
      <c r="E24" s="29"/>
      <c r="F24" s="26"/>
      <c r="G24" s="26"/>
      <c r="H24" s="26"/>
      <c r="I24" s="26"/>
      <c r="J24" s="26"/>
      <c r="K24" s="26"/>
      <c r="L24" s="26"/>
      <c r="M24" s="26"/>
      <c r="N24" s="26"/>
      <c r="O24" s="26"/>
      <c r="P24" s="26"/>
      <c r="Q24" s="26"/>
      <c r="R24" s="26"/>
      <c r="S24" s="26"/>
      <c r="T24" s="26"/>
      <c r="U24" s="26"/>
      <c r="V24" s="26"/>
      <c r="W24" s="26"/>
      <c r="X24" s="26"/>
      <c r="Y24" s="21"/>
    </row>
    <row r="25" spans="2:25">
      <c r="B25" s="9"/>
      <c r="C25" s="31" t="s">
        <v>12</v>
      </c>
      <c r="D25" s="31" t="s">
        <v>14</v>
      </c>
      <c r="E25" s="45">
        <f>ABS(_xlfn.NORM.INV(E8,0,1))</f>
        <v>1.0364333894937898</v>
      </c>
      <c r="F25" s="45">
        <f t="shared" ref="F25:X25" si="0">ABS(_xlfn.NORM.INV(F8,0,1))</f>
        <v>1.0364333894937898</v>
      </c>
      <c r="G25" s="45">
        <f t="shared" si="0"/>
        <v>1.0364333894937898</v>
      </c>
      <c r="H25" s="45">
        <f t="shared" si="0"/>
        <v>0.67448975019608193</v>
      </c>
      <c r="I25" s="45">
        <f t="shared" si="0"/>
        <v>1.0364333894937898</v>
      </c>
      <c r="J25" s="45">
        <f t="shared" si="0"/>
        <v>1.0364333894937898</v>
      </c>
      <c r="K25" s="45">
        <f t="shared" si="0"/>
        <v>1.0364333894937898</v>
      </c>
      <c r="L25" s="45">
        <f t="shared" si="0"/>
        <v>1.0364333894937898</v>
      </c>
      <c r="M25" s="45" t="e">
        <f t="shared" si="0"/>
        <v>#NUM!</v>
      </c>
      <c r="N25" s="45" t="e">
        <f t="shared" si="0"/>
        <v>#NUM!</v>
      </c>
      <c r="O25" s="45" t="e">
        <f t="shared" si="0"/>
        <v>#NUM!</v>
      </c>
      <c r="P25" s="45" t="e">
        <f t="shared" si="0"/>
        <v>#NUM!</v>
      </c>
      <c r="Q25" s="45" t="e">
        <f t="shared" si="0"/>
        <v>#NUM!</v>
      </c>
      <c r="R25" s="45" t="e">
        <f t="shared" si="0"/>
        <v>#NUM!</v>
      </c>
      <c r="S25" s="45" t="e">
        <f t="shared" si="0"/>
        <v>#NUM!</v>
      </c>
      <c r="T25" s="45" t="e">
        <f t="shared" si="0"/>
        <v>#NUM!</v>
      </c>
      <c r="U25" s="45" t="e">
        <f t="shared" si="0"/>
        <v>#NUM!</v>
      </c>
      <c r="V25" s="45" t="e">
        <f t="shared" si="0"/>
        <v>#NUM!</v>
      </c>
      <c r="W25" s="45" t="e">
        <f t="shared" si="0"/>
        <v>#NUM!</v>
      </c>
      <c r="X25" s="45" t="e">
        <f t="shared" si="0"/>
        <v>#NUM!</v>
      </c>
      <c r="Y25" s="21"/>
    </row>
    <row r="26" spans="2:25" ht="14.25">
      <c r="B26" s="9"/>
      <c r="C26" s="31" t="s">
        <v>150</v>
      </c>
      <c r="D26" s="31" t="s">
        <v>144</v>
      </c>
      <c r="E26" s="49">
        <f t="shared" ref="E26:X26" si="1">E16*(EXP(-E16*CriticalHeadway/3600)/(1-EXP(-E16*FollowUpTime/3600)))</f>
        <v>938.52763938594524</v>
      </c>
      <c r="F26" s="49">
        <f t="shared" si="1"/>
        <v>890.70034220567891</v>
      </c>
      <c r="G26" s="49">
        <f t="shared" si="1"/>
        <v>1049.5366912769621</v>
      </c>
      <c r="H26" s="49">
        <f t="shared" si="1"/>
        <v>826.44967175074157</v>
      </c>
      <c r="I26" s="49">
        <f t="shared" si="1"/>
        <v>1049.5366912769621</v>
      </c>
      <c r="J26" s="49">
        <f t="shared" si="1"/>
        <v>959.7781540483395</v>
      </c>
      <c r="K26" s="49">
        <f t="shared" si="1"/>
        <v>931.54595114581207</v>
      </c>
      <c r="L26" s="49">
        <f t="shared" si="1"/>
        <v>938.52763938594524</v>
      </c>
      <c r="M26" s="49" t="e">
        <f t="shared" si="1"/>
        <v>#DIV/0!</v>
      </c>
      <c r="N26" s="49" t="e">
        <f t="shared" si="1"/>
        <v>#DIV/0!</v>
      </c>
      <c r="O26" s="49" t="e">
        <f t="shared" si="1"/>
        <v>#DIV/0!</v>
      </c>
      <c r="P26" s="49" t="e">
        <f t="shared" si="1"/>
        <v>#DIV/0!</v>
      </c>
      <c r="Q26" s="49" t="e">
        <f t="shared" si="1"/>
        <v>#DIV/0!</v>
      </c>
      <c r="R26" s="49" t="e">
        <f t="shared" si="1"/>
        <v>#DIV/0!</v>
      </c>
      <c r="S26" s="49" t="e">
        <f t="shared" si="1"/>
        <v>#DIV/0!</v>
      </c>
      <c r="T26" s="49" t="e">
        <f t="shared" si="1"/>
        <v>#DIV/0!</v>
      </c>
      <c r="U26" s="49" t="e">
        <f t="shared" si="1"/>
        <v>#DIV/0!</v>
      </c>
      <c r="V26" s="49" t="e">
        <f t="shared" si="1"/>
        <v>#DIV/0!</v>
      </c>
      <c r="W26" s="49" t="e">
        <f t="shared" si="1"/>
        <v>#DIV/0!</v>
      </c>
      <c r="X26" s="49" t="e">
        <f t="shared" si="1"/>
        <v>#DIV/0!</v>
      </c>
      <c r="Y26" s="21"/>
    </row>
    <row r="27" spans="2:25" ht="14.25">
      <c r="B27" s="9"/>
      <c r="C27" s="31" t="s">
        <v>141</v>
      </c>
      <c r="D27" s="31" t="s">
        <v>145</v>
      </c>
      <c r="E27" s="36">
        <f t="shared" ref="E27:G27" si="2">(3600/E16)+(900*((E20/E16)-1+SQRT((((E20/E16)-1)^2)+((3600/E16)*(E20/E16)/450))))-3.3</f>
        <v>32.699928741371906</v>
      </c>
      <c r="F27" s="36">
        <f t="shared" si="2"/>
        <v>23.366645153864656</v>
      </c>
      <c r="G27" s="36">
        <f t="shared" si="2"/>
        <v>146.6209657335996</v>
      </c>
      <c r="H27" s="36">
        <f>(3600/H16)+(900*((H20/H16)-1+SQRT((((H20/H16)-1)^2)+((3600/H16)*(H20/H16)/450))))-3.3</f>
        <v>16.26519254147156</v>
      </c>
      <c r="I27" s="36">
        <f t="shared" ref="I27:X27" si="3">(3600/I16)+(900*((I20/I16)-1+SQRT((((I20/I16)-1)^2)+((3600/I16)*(I20/I16)/450))))-3.3</f>
        <v>146.6209657335996</v>
      </c>
      <c r="J27" s="36">
        <f t="shared" si="3"/>
        <v>39.556578486780197</v>
      </c>
      <c r="K27" s="36">
        <f t="shared" si="3"/>
        <v>30.985655631231499</v>
      </c>
      <c r="L27" s="36">
        <f t="shared" si="3"/>
        <v>32.699928741371906</v>
      </c>
      <c r="M27" s="36" t="e">
        <f t="shared" si="3"/>
        <v>#DIV/0!</v>
      </c>
      <c r="N27" s="36" t="e">
        <f t="shared" si="3"/>
        <v>#DIV/0!</v>
      </c>
      <c r="O27" s="36" t="e">
        <f t="shared" si="3"/>
        <v>#DIV/0!</v>
      </c>
      <c r="P27" s="36" t="e">
        <f t="shared" si="3"/>
        <v>#DIV/0!</v>
      </c>
      <c r="Q27" s="36" t="e">
        <f t="shared" si="3"/>
        <v>#DIV/0!</v>
      </c>
      <c r="R27" s="36" t="e">
        <f t="shared" si="3"/>
        <v>#DIV/0!</v>
      </c>
      <c r="S27" s="36" t="e">
        <f t="shared" si="3"/>
        <v>#DIV/0!</v>
      </c>
      <c r="T27" s="36" t="e">
        <f t="shared" si="3"/>
        <v>#DIV/0!</v>
      </c>
      <c r="U27" s="36" t="e">
        <f t="shared" si="3"/>
        <v>#DIV/0!</v>
      </c>
      <c r="V27" s="36" t="e">
        <f t="shared" si="3"/>
        <v>#DIV/0!</v>
      </c>
      <c r="W27" s="36" t="e">
        <f t="shared" si="3"/>
        <v>#DIV/0!</v>
      </c>
      <c r="X27" s="36" t="e">
        <f t="shared" si="3"/>
        <v>#DIV/0!</v>
      </c>
      <c r="Y27" s="21"/>
    </row>
    <row r="28" spans="2:25" ht="14.25">
      <c r="B28" s="9"/>
      <c r="C28" s="31" t="s">
        <v>147</v>
      </c>
      <c r="D28" s="31" t="s">
        <v>146</v>
      </c>
      <c r="E28" s="36">
        <f t="shared" ref="E28:X28" si="4">MIN(((E16/3600)*E11*(1-E10))/((VLOOKUP(E13,SatFlowRates,2)-E16)/3600),E10*E11)</f>
        <v>2.916010498687664</v>
      </c>
      <c r="F28" s="36">
        <f t="shared" si="4"/>
        <v>4.0188045668233716</v>
      </c>
      <c r="G28" s="36">
        <f t="shared" si="4"/>
        <v>0.71544715447154472</v>
      </c>
      <c r="H28" s="36">
        <f t="shared" si="4"/>
        <v>5.6872828353022937</v>
      </c>
      <c r="I28" s="36">
        <f t="shared" si="4"/>
        <v>0.71544715447154472</v>
      </c>
      <c r="J28" s="36">
        <f t="shared" si="4"/>
        <v>2.4587394411955823</v>
      </c>
      <c r="K28" s="36">
        <f t="shared" si="4"/>
        <v>3.07044107965767</v>
      </c>
      <c r="L28" s="36">
        <f t="shared" si="4"/>
        <v>2.916010498687664</v>
      </c>
      <c r="M28" s="36" t="e">
        <f t="shared" si="4"/>
        <v>#N/A</v>
      </c>
      <c r="N28" s="36" t="e">
        <f t="shared" si="4"/>
        <v>#N/A</v>
      </c>
      <c r="O28" s="36" t="e">
        <f t="shared" si="4"/>
        <v>#N/A</v>
      </c>
      <c r="P28" s="36" t="e">
        <f t="shared" si="4"/>
        <v>#N/A</v>
      </c>
      <c r="Q28" s="36" t="e">
        <f t="shared" si="4"/>
        <v>#N/A</v>
      </c>
      <c r="R28" s="36" t="e">
        <f t="shared" si="4"/>
        <v>#N/A</v>
      </c>
      <c r="S28" s="36" t="e">
        <f t="shared" si="4"/>
        <v>#N/A</v>
      </c>
      <c r="T28" s="36" t="e">
        <f t="shared" si="4"/>
        <v>#N/A</v>
      </c>
      <c r="U28" s="36" t="e">
        <f t="shared" si="4"/>
        <v>#N/A</v>
      </c>
      <c r="V28" s="36" t="e">
        <f t="shared" si="4"/>
        <v>#N/A</v>
      </c>
      <c r="W28" s="36" t="e">
        <f t="shared" si="4"/>
        <v>#N/A</v>
      </c>
      <c r="X28" s="36" t="e">
        <f t="shared" si="4"/>
        <v>#N/A</v>
      </c>
      <c r="Y28" s="21"/>
    </row>
    <row r="29" spans="2:25" ht="14.25">
      <c r="B29" s="9"/>
      <c r="C29" s="31" t="s">
        <v>151</v>
      </c>
      <c r="D29" s="31" t="s">
        <v>152</v>
      </c>
      <c r="E29" s="49">
        <f t="shared" ref="E29:X29" si="5">(E16*E10)*(EXP(-E16*E10*CriticalHeadway/3600)/(1-EXP(-E16*E10*FollowUpTime/3600)))</f>
        <v>1019.5846153918802</v>
      </c>
      <c r="F29" s="49">
        <f t="shared" si="5"/>
        <v>995.93851690165786</v>
      </c>
      <c r="G29" s="49">
        <f t="shared" si="5"/>
        <v>1072.0997238054067</v>
      </c>
      <c r="H29" s="49">
        <f t="shared" si="5"/>
        <v>963.07750147816978</v>
      </c>
      <c r="I29" s="49">
        <f t="shared" si="5"/>
        <v>1072.0997238054067</v>
      </c>
      <c r="J29" s="49">
        <f t="shared" si="5"/>
        <v>1029.8842744796766</v>
      </c>
      <c r="K29" s="49">
        <f t="shared" si="5"/>
        <v>1016.1736163322878</v>
      </c>
      <c r="L29" s="49">
        <f t="shared" si="5"/>
        <v>1019.5846153918802</v>
      </c>
      <c r="M29" s="49" t="e">
        <f t="shared" si="5"/>
        <v>#DIV/0!</v>
      </c>
      <c r="N29" s="49" t="e">
        <f t="shared" si="5"/>
        <v>#DIV/0!</v>
      </c>
      <c r="O29" s="49" t="e">
        <f t="shared" si="5"/>
        <v>#DIV/0!</v>
      </c>
      <c r="P29" s="49" t="e">
        <f t="shared" si="5"/>
        <v>#DIV/0!</v>
      </c>
      <c r="Q29" s="49" t="e">
        <f t="shared" si="5"/>
        <v>#DIV/0!</v>
      </c>
      <c r="R29" s="49" t="e">
        <f t="shared" si="5"/>
        <v>#DIV/0!</v>
      </c>
      <c r="S29" s="49" t="e">
        <f t="shared" si="5"/>
        <v>#DIV/0!</v>
      </c>
      <c r="T29" s="49" t="e">
        <f t="shared" si="5"/>
        <v>#DIV/0!</v>
      </c>
      <c r="U29" s="49" t="e">
        <f t="shared" si="5"/>
        <v>#DIV/0!</v>
      </c>
      <c r="V29" s="49" t="e">
        <f t="shared" si="5"/>
        <v>#DIV/0!</v>
      </c>
      <c r="W29" s="49" t="e">
        <f t="shared" si="5"/>
        <v>#DIV/0!</v>
      </c>
      <c r="X29" s="49" t="e">
        <f t="shared" si="5"/>
        <v>#DIV/0!</v>
      </c>
      <c r="Y29" s="21"/>
    </row>
    <row r="30" spans="2:25" ht="14.25">
      <c r="B30" s="9"/>
      <c r="C30" s="31" t="s">
        <v>148</v>
      </c>
      <c r="D30" s="31" t="s">
        <v>149</v>
      </c>
      <c r="E30" s="36">
        <f t="shared" ref="E30:G30" si="6">(3600/E29)+(900*((E20/E29)-1+SQRT((((E20/E29)-1)^2)+((3600/E29)*(E20/E29)/450))))-3.3</f>
        <v>0.23431608802439285</v>
      </c>
      <c r="F30" s="36">
        <f t="shared" si="6"/>
        <v>0.31831402799414255</v>
      </c>
      <c r="G30" s="36">
        <f t="shared" si="6"/>
        <v>6.4172419126650837E-2</v>
      </c>
      <c r="H30" s="36">
        <f>(3600/H29)+(900*((H20/H29)-1+SQRT((((H20/H29)-1)^2)+((3600/H29)*(H20/H29)/450))))-3.3</f>
        <v>0.44579569502772465</v>
      </c>
      <c r="I30" s="36">
        <f t="shared" ref="I30:X30" si="7">(3600/I29)+(900*((I20/I29)-1+SQRT((((I20/I29)-1)^2)+((3600/I29)*(I20/I29)/450))))-3.3</f>
        <v>6.4172419126650837E-2</v>
      </c>
      <c r="J30" s="36">
        <f t="shared" si="7"/>
        <v>0.20233977006306603</v>
      </c>
      <c r="K30" s="36">
        <f t="shared" si="7"/>
        <v>0.24619144470205345</v>
      </c>
      <c r="L30" s="36">
        <f t="shared" si="7"/>
        <v>0.23431608802439285</v>
      </c>
      <c r="M30" s="36" t="e">
        <f t="shared" si="7"/>
        <v>#DIV/0!</v>
      </c>
      <c r="N30" s="36" t="e">
        <f t="shared" si="7"/>
        <v>#DIV/0!</v>
      </c>
      <c r="O30" s="36" t="e">
        <f t="shared" si="7"/>
        <v>#DIV/0!</v>
      </c>
      <c r="P30" s="36" t="e">
        <f t="shared" si="7"/>
        <v>#DIV/0!</v>
      </c>
      <c r="Q30" s="36" t="e">
        <f t="shared" si="7"/>
        <v>#DIV/0!</v>
      </c>
      <c r="R30" s="36" t="e">
        <f t="shared" si="7"/>
        <v>#DIV/0!</v>
      </c>
      <c r="S30" s="36" t="e">
        <f t="shared" si="7"/>
        <v>#DIV/0!</v>
      </c>
      <c r="T30" s="36" t="e">
        <f t="shared" si="7"/>
        <v>#DIV/0!</v>
      </c>
      <c r="U30" s="36" t="e">
        <f t="shared" si="7"/>
        <v>#DIV/0!</v>
      </c>
      <c r="V30" s="36" t="e">
        <f t="shared" si="7"/>
        <v>#DIV/0!</v>
      </c>
      <c r="W30" s="36" t="e">
        <f t="shared" si="7"/>
        <v>#DIV/0!</v>
      </c>
      <c r="X30" s="36" t="e">
        <f t="shared" si="7"/>
        <v>#DIV/0!</v>
      </c>
      <c r="Y30" s="21"/>
    </row>
    <row r="31" spans="2:25" ht="14.25">
      <c r="B31" s="9"/>
      <c r="C31" s="31" t="s">
        <v>154</v>
      </c>
      <c r="D31" s="31" t="s">
        <v>153</v>
      </c>
      <c r="E31" s="36">
        <f>MIN(E28+E30,E10*E11)</f>
        <v>3.1503265867120569</v>
      </c>
      <c r="F31" s="36">
        <f t="shared" ref="F31:X31" si="8">MIN(F28+F30,F10*F11)</f>
        <v>4.3371185948175146</v>
      </c>
      <c r="G31" s="36">
        <f t="shared" si="8"/>
        <v>0.77961957359819556</v>
      </c>
      <c r="H31" s="36">
        <f t="shared" si="8"/>
        <v>6.1330785303300184</v>
      </c>
      <c r="I31" s="36">
        <f t="shared" si="8"/>
        <v>0.77961957359819556</v>
      </c>
      <c r="J31" s="36">
        <f t="shared" si="8"/>
        <v>2.6610792112586483</v>
      </c>
      <c r="K31" s="36">
        <f t="shared" si="8"/>
        <v>3.3166325243597234</v>
      </c>
      <c r="L31" s="36">
        <f t="shared" si="8"/>
        <v>3.1503265867120569</v>
      </c>
      <c r="M31" s="36" t="e">
        <f t="shared" si="8"/>
        <v>#N/A</v>
      </c>
      <c r="N31" s="36" t="e">
        <f t="shared" si="8"/>
        <v>#N/A</v>
      </c>
      <c r="O31" s="36" t="e">
        <f t="shared" si="8"/>
        <v>#N/A</v>
      </c>
      <c r="P31" s="36" t="e">
        <f t="shared" si="8"/>
        <v>#N/A</v>
      </c>
      <c r="Q31" s="36" t="e">
        <f t="shared" si="8"/>
        <v>#N/A</v>
      </c>
      <c r="R31" s="36" t="e">
        <f t="shared" si="8"/>
        <v>#N/A</v>
      </c>
      <c r="S31" s="36" t="e">
        <f t="shared" si="8"/>
        <v>#N/A</v>
      </c>
      <c r="T31" s="36" t="e">
        <f t="shared" si="8"/>
        <v>#N/A</v>
      </c>
      <c r="U31" s="36" t="e">
        <f t="shared" si="8"/>
        <v>#N/A</v>
      </c>
      <c r="V31" s="36" t="e">
        <f t="shared" si="8"/>
        <v>#N/A</v>
      </c>
      <c r="W31" s="36" t="e">
        <f t="shared" si="8"/>
        <v>#N/A</v>
      </c>
      <c r="X31" s="36" t="e">
        <f t="shared" si="8"/>
        <v>#N/A</v>
      </c>
      <c r="Y31" s="21"/>
    </row>
    <row r="32" spans="2:25" ht="14.25">
      <c r="B32" s="9"/>
      <c r="C32" s="31" t="s">
        <v>155</v>
      </c>
      <c r="D32" s="31" t="s">
        <v>156</v>
      </c>
      <c r="E32" s="36">
        <f>(E28*E28/E11)+(E30*(E11-E28)/E11)</f>
        <v>0.3320642012214694</v>
      </c>
      <c r="F32" s="36">
        <f t="shared" ref="F32:X32" si="9">(F28*F28/F11)+(F30*(F11-F28)/F11)</f>
        <v>0.50420838145581226</v>
      </c>
      <c r="G32" s="36">
        <f t="shared" si="9"/>
        <v>6.9996827328922234E-2</v>
      </c>
      <c r="H32" s="36">
        <f t="shared" si="9"/>
        <v>0.8184184430819903</v>
      </c>
      <c r="I32" s="36">
        <f t="shared" si="9"/>
        <v>6.9996827328922234E-2</v>
      </c>
      <c r="J32" s="36">
        <f t="shared" si="9"/>
        <v>0.27168850589449428</v>
      </c>
      <c r="K32" s="36">
        <f t="shared" si="9"/>
        <v>0.35458759593175226</v>
      </c>
      <c r="L32" s="36">
        <f t="shared" si="9"/>
        <v>0.3320642012214694</v>
      </c>
      <c r="M32" s="36" t="e">
        <f t="shared" si="9"/>
        <v>#N/A</v>
      </c>
      <c r="N32" s="36" t="e">
        <f t="shared" si="9"/>
        <v>#N/A</v>
      </c>
      <c r="O32" s="36" t="e">
        <f t="shared" si="9"/>
        <v>#N/A</v>
      </c>
      <c r="P32" s="36" t="e">
        <f t="shared" si="9"/>
        <v>#N/A</v>
      </c>
      <c r="Q32" s="36" t="e">
        <f t="shared" si="9"/>
        <v>#N/A</v>
      </c>
      <c r="R32" s="36" t="e">
        <f t="shared" si="9"/>
        <v>#N/A</v>
      </c>
      <c r="S32" s="36" t="e">
        <f t="shared" si="9"/>
        <v>#N/A</v>
      </c>
      <c r="T32" s="36" t="e">
        <f t="shared" si="9"/>
        <v>#N/A</v>
      </c>
      <c r="U32" s="36" t="e">
        <f t="shared" si="9"/>
        <v>#N/A</v>
      </c>
      <c r="V32" s="36" t="e">
        <f t="shared" si="9"/>
        <v>#N/A</v>
      </c>
      <c r="W32" s="36" t="e">
        <f t="shared" si="9"/>
        <v>#N/A</v>
      </c>
      <c r="X32" s="36" t="e">
        <f t="shared" si="9"/>
        <v>#N/A</v>
      </c>
      <c r="Y32" s="21"/>
    </row>
    <row r="33" spans="2:25" ht="14.25">
      <c r="B33" s="9"/>
      <c r="C33" s="31" t="s">
        <v>159</v>
      </c>
      <c r="D33" s="31" t="s">
        <v>160</v>
      </c>
      <c r="E33" s="36">
        <f>E32-((E15*(E32-E27))/1320)</f>
        <v>0.3320642012214694</v>
      </c>
      <c r="F33" s="36">
        <f t="shared" ref="F33:X33" si="10">F32-((F15*(F32-F27))/1320)</f>
        <v>0.50420838145581226</v>
      </c>
      <c r="G33" s="36">
        <f t="shared" si="10"/>
        <v>6.9996827328922234E-2</v>
      </c>
      <c r="H33" s="36">
        <f t="shared" si="10"/>
        <v>0.8184184430819903</v>
      </c>
      <c r="I33" s="36">
        <f t="shared" si="10"/>
        <v>6.9996827328922234E-2</v>
      </c>
      <c r="J33" s="36">
        <f t="shared" si="10"/>
        <v>0.27168850589449428</v>
      </c>
      <c r="K33" s="36">
        <f t="shared" si="10"/>
        <v>0.35458759593175226</v>
      </c>
      <c r="L33" s="36">
        <f t="shared" si="10"/>
        <v>0.3320642012214694</v>
      </c>
      <c r="M33" s="36" t="e">
        <f t="shared" si="10"/>
        <v>#N/A</v>
      </c>
      <c r="N33" s="36" t="e">
        <f t="shared" si="10"/>
        <v>#N/A</v>
      </c>
      <c r="O33" s="36" t="e">
        <f t="shared" si="10"/>
        <v>#N/A</v>
      </c>
      <c r="P33" s="36" t="e">
        <f t="shared" si="10"/>
        <v>#N/A</v>
      </c>
      <c r="Q33" s="36" t="e">
        <f t="shared" si="10"/>
        <v>#N/A</v>
      </c>
      <c r="R33" s="36" t="e">
        <f t="shared" si="10"/>
        <v>#N/A</v>
      </c>
      <c r="S33" s="36" t="e">
        <f t="shared" si="10"/>
        <v>#N/A</v>
      </c>
      <c r="T33" s="36" t="e">
        <f t="shared" si="10"/>
        <v>#N/A</v>
      </c>
      <c r="U33" s="36" t="e">
        <f t="shared" si="10"/>
        <v>#N/A</v>
      </c>
      <c r="V33" s="36" t="e">
        <f t="shared" si="10"/>
        <v>#N/A</v>
      </c>
      <c r="W33" s="36" t="e">
        <f t="shared" si="10"/>
        <v>#N/A</v>
      </c>
      <c r="X33" s="36" t="e">
        <f t="shared" si="10"/>
        <v>#N/A</v>
      </c>
      <c r="Y33" s="21"/>
    </row>
    <row r="34" spans="2:25" ht="14.25">
      <c r="B34" s="9"/>
      <c r="C34" s="31" t="s">
        <v>19</v>
      </c>
      <c r="D34" s="31" t="s">
        <v>129</v>
      </c>
      <c r="E34" s="36">
        <f t="shared" ref="E34:X34" si="11">IF(E12="On-line",StartUpTime,StartUpTime+IF(E14="No influence",E27,IF(E14="Influenced",E33,IF(E14="Far-side",E32,E31))))</f>
        <v>10</v>
      </c>
      <c r="F34" s="36">
        <f t="shared" si="11"/>
        <v>10</v>
      </c>
      <c r="G34" s="36">
        <f t="shared" si="11"/>
        <v>10</v>
      </c>
      <c r="H34" s="36">
        <f t="shared" si="11"/>
        <v>10</v>
      </c>
      <c r="I34" s="36">
        <f t="shared" si="11"/>
        <v>10</v>
      </c>
      <c r="J34" s="36">
        <f t="shared" si="11"/>
        <v>10</v>
      </c>
      <c r="K34" s="36">
        <f t="shared" si="11"/>
        <v>10</v>
      </c>
      <c r="L34" s="36">
        <f t="shared" si="11"/>
        <v>10</v>
      </c>
      <c r="M34" s="36" t="e">
        <f t="shared" si="11"/>
        <v>#N/A</v>
      </c>
      <c r="N34" s="36" t="e">
        <f t="shared" si="11"/>
        <v>#N/A</v>
      </c>
      <c r="O34" s="36" t="e">
        <f t="shared" si="11"/>
        <v>#N/A</v>
      </c>
      <c r="P34" s="36" t="e">
        <f t="shared" si="11"/>
        <v>#N/A</v>
      </c>
      <c r="Q34" s="36" t="e">
        <f t="shared" si="11"/>
        <v>#N/A</v>
      </c>
      <c r="R34" s="36" t="e">
        <f t="shared" si="11"/>
        <v>#N/A</v>
      </c>
      <c r="S34" s="36" t="e">
        <f t="shared" si="11"/>
        <v>#N/A</v>
      </c>
      <c r="T34" s="36" t="e">
        <f t="shared" si="11"/>
        <v>#N/A</v>
      </c>
      <c r="U34" s="36" t="e">
        <f t="shared" si="11"/>
        <v>#N/A</v>
      </c>
      <c r="V34" s="36" t="e">
        <f t="shared" si="11"/>
        <v>#N/A</v>
      </c>
      <c r="W34" s="36" t="e">
        <f t="shared" si="11"/>
        <v>#N/A</v>
      </c>
      <c r="X34" s="36" t="e">
        <f t="shared" si="11"/>
        <v>#N/A</v>
      </c>
      <c r="Y34" s="21"/>
    </row>
    <row r="35" spans="2:25" ht="14.25">
      <c r="B35" s="9"/>
      <c r="C35" s="31" t="s">
        <v>20</v>
      </c>
      <c r="D35" s="31" t="s">
        <v>161</v>
      </c>
      <c r="E35" s="36">
        <f>E25*E7*E9</f>
        <v>12.437200673925478</v>
      </c>
      <c r="F35" s="36">
        <f>F25*F7*F9</f>
        <v>17.412080943495667</v>
      </c>
      <c r="G35" s="36">
        <f>G25*G7*G9</f>
        <v>32.336721752206238</v>
      </c>
      <c r="H35" s="36">
        <f t="shared" ref="H35:X35" si="12">H25*H7*H9</f>
        <v>15.378366304470667</v>
      </c>
      <c r="I35" s="36">
        <f t="shared" si="12"/>
        <v>37.31160202177643</v>
      </c>
      <c r="J35" s="36">
        <f t="shared" si="12"/>
        <v>27.361841482636049</v>
      </c>
      <c r="K35" s="36">
        <f t="shared" si="12"/>
        <v>12.437200673925478</v>
      </c>
      <c r="L35" s="36">
        <f t="shared" si="12"/>
        <v>19.899521078280763</v>
      </c>
      <c r="M35" s="36" t="e">
        <f t="shared" si="12"/>
        <v>#NUM!</v>
      </c>
      <c r="N35" s="36" t="e">
        <f t="shared" si="12"/>
        <v>#NUM!</v>
      </c>
      <c r="O35" s="36" t="e">
        <f t="shared" si="12"/>
        <v>#NUM!</v>
      </c>
      <c r="P35" s="36" t="e">
        <f t="shared" si="12"/>
        <v>#NUM!</v>
      </c>
      <c r="Q35" s="36" t="e">
        <f t="shared" si="12"/>
        <v>#NUM!</v>
      </c>
      <c r="R35" s="36" t="e">
        <f t="shared" si="12"/>
        <v>#NUM!</v>
      </c>
      <c r="S35" s="36" t="e">
        <f t="shared" si="12"/>
        <v>#NUM!</v>
      </c>
      <c r="T35" s="36" t="e">
        <f t="shared" si="12"/>
        <v>#NUM!</v>
      </c>
      <c r="U35" s="36" t="e">
        <f t="shared" si="12"/>
        <v>#NUM!</v>
      </c>
      <c r="V35" s="36" t="e">
        <f t="shared" si="12"/>
        <v>#NUM!</v>
      </c>
      <c r="W35" s="36" t="e">
        <f t="shared" si="12"/>
        <v>#NUM!</v>
      </c>
      <c r="X35" s="36" t="e">
        <f t="shared" si="12"/>
        <v>#NUM!</v>
      </c>
      <c r="Y35" s="21"/>
    </row>
    <row r="36" spans="2:25" ht="14.25" customHeight="1">
      <c r="B36" s="9"/>
      <c r="C36" s="31" t="s">
        <v>22</v>
      </c>
      <c r="D36" s="31" t="s">
        <v>185</v>
      </c>
      <c r="E36" s="49">
        <f>3600*E10/(E34+E9*(E10)+E35)</f>
        <v>51.531305754702714</v>
      </c>
      <c r="F36" s="49">
        <f t="shared" ref="F36:X36" si="13">3600*F10/(F34+F9*(F10)+F35)</f>
        <v>40.48777173793421</v>
      </c>
      <c r="G36" s="49">
        <f t="shared" si="13"/>
        <v>24.643760090540713</v>
      </c>
      <c r="H36" s="49">
        <f t="shared" si="13"/>
        <v>38.137059895109523</v>
      </c>
      <c r="I36" s="49">
        <f t="shared" si="13"/>
        <v>21.800095219657248</v>
      </c>
      <c r="J36" s="49">
        <f t="shared" si="13"/>
        <v>28.340584522493113</v>
      </c>
      <c r="K36" s="49">
        <f t="shared" si="13"/>
        <v>51.531305754702714</v>
      </c>
      <c r="L36" s="49">
        <f t="shared" si="13"/>
        <v>36.569244103956152</v>
      </c>
      <c r="M36" s="49" t="e">
        <f t="shared" si="13"/>
        <v>#N/A</v>
      </c>
      <c r="N36" s="49" t="e">
        <f t="shared" si="13"/>
        <v>#N/A</v>
      </c>
      <c r="O36" s="49" t="e">
        <f t="shared" si="13"/>
        <v>#N/A</v>
      </c>
      <c r="P36" s="49" t="e">
        <f t="shared" si="13"/>
        <v>#N/A</v>
      </c>
      <c r="Q36" s="49" t="e">
        <f t="shared" si="13"/>
        <v>#N/A</v>
      </c>
      <c r="R36" s="49" t="e">
        <f t="shared" si="13"/>
        <v>#N/A</v>
      </c>
      <c r="S36" s="49" t="e">
        <f t="shared" si="13"/>
        <v>#N/A</v>
      </c>
      <c r="T36" s="49" t="e">
        <f t="shared" si="13"/>
        <v>#N/A</v>
      </c>
      <c r="U36" s="49" t="e">
        <f t="shared" si="13"/>
        <v>#N/A</v>
      </c>
      <c r="V36" s="49" t="e">
        <f t="shared" si="13"/>
        <v>#N/A</v>
      </c>
      <c r="W36" s="49" t="e">
        <f t="shared" si="13"/>
        <v>#N/A</v>
      </c>
      <c r="X36" s="49" t="e">
        <f t="shared" si="13"/>
        <v>#N/A</v>
      </c>
      <c r="Y36" s="21"/>
    </row>
    <row r="37" spans="2:25" ht="14.25">
      <c r="B37" s="9"/>
      <c r="C37" s="31" t="s">
        <v>49</v>
      </c>
      <c r="D37" s="31" t="s">
        <v>21</v>
      </c>
      <c r="E37" s="45">
        <f>IF(E21="Non-linear",'Step 1 - Capacity'!E20,IF('Step 1 - Capacity'!E12="Off-line",VLOOKUP('Step 1 - Capacity'!E$20,Lookup!$K$4:$L$8,2,0),IF(E19="Random",VLOOKUP(E$20,Lookup!$G$4:$H$8,2,0),VLOOKUP('Step 1 - Capacity'!E20,Lookup!$I$4:$J$8,2,0))))</f>
        <v>1</v>
      </c>
      <c r="F37" s="45">
        <f>IF(F21="Non-linear",'Step 1 - Capacity'!F20,IF('Step 1 - Capacity'!F12="Off-line",VLOOKUP('Step 1 - Capacity'!F$20,Lookup!$K$4:$L$8,2,0),IF(F19="Random",VLOOKUP(F$20,Lookup!$G$4:$H$8,2,0),VLOOKUP('Step 1 - Capacity'!F20,Lookup!$I$4:$J$8,2,0))))</f>
        <v>1</v>
      </c>
      <c r="G37" s="45">
        <f>IF(G21="Non-linear",'Step 1 - Capacity'!G20,IF('Step 1 - Capacity'!G12="Off-line",VLOOKUP('Step 1 - Capacity'!G$20,Lookup!$K$4:$L$8,2,0),IF(G19="Random",VLOOKUP(G$20,Lookup!$G$4:$H$8,2,0),VLOOKUP('Step 1 - Capacity'!G20,Lookup!$I$4:$J$8,2,0))))</f>
        <v>1.75</v>
      </c>
      <c r="H37" s="45">
        <f>IF(H21="Non-linear",'Step 1 - Capacity'!H20,IF('Step 1 - Capacity'!H12="Off-line",VLOOKUP('Step 1 - Capacity'!H$20,Lookup!$K$4:$L$8,2,0),IF(H19="Random",VLOOKUP(H$20,Lookup!$G$4:$H$8,2,0),VLOOKUP('Step 1 - Capacity'!H20,Lookup!$I$4:$J$8,2,0))))</f>
        <v>1.75</v>
      </c>
      <c r="I37" s="45">
        <f>IF(I21="Non-linear",'Step 1 - Capacity'!I20,IF('Step 1 - Capacity'!I12="Off-line",VLOOKUP('Step 1 - Capacity'!I$20,Lookup!$K$4:$L$8,2,0),IF(I19="Random",VLOOKUP(I$20,Lookup!$G$4:$H$8,2,0),VLOOKUP('Step 1 - Capacity'!I20,Lookup!$I$4:$J$8,2,0))))</f>
        <v>1.75</v>
      </c>
      <c r="J37" s="45">
        <f>IF(J21="Non-linear",'Step 1 - Capacity'!J20,IF('Step 1 - Capacity'!J12="Off-line",VLOOKUP('Step 1 - Capacity'!J$20,Lookup!$K$4:$L$8,2,0),IF(J19="Random",VLOOKUP(J$20,Lookup!$G$4:$H$8,2,0),VLOOKUP('Step 1 - Capacity'!J20,Lookup!$I$4:$J$8,2,0))))</f>
        <v>1.75</v>
      </c>
      <c r="K37" s="45">
        <f>IF(K21="Non-linear",'Step 1 - Capacity'!K20,IF('Step 1 - Capacity'!K12="Off-line",VLOOKUP('Step 1 - Capacity'!K$20,Lookup!$K$4:$L$8,2,0),IF(K19="Random",VLOOKUP(K$20,Lookup!$G$4:$H$8,2,0),VLOOKUP('Step 1 - Capacity'!K20,Lookup!$I$4:$J$8,2,0))))</f>
        <v>1</v>
      </c>
      <c r="L37" s="45">
        <f>IF(L21="Non-linear",'Step 1 - Capacity'!L20,IF('Step 1 - Capacity'!L12="Off-line",VLOOKUP('Step 1 - Capacity'!L$20,Lookup!$K$4:$L$8,2,0),IF(L19="Random",VLOOKUP(L$20,Lookup!$G$4:$H$8,2,0),VLOOKUP('Step 1 - Capacity'!L20,Lookup!$I$4:$J$8,2,0))))</f>
        <v>1</v>
      </c>
      <c r="M37" s="45" t="e">
        <f>IF(M21="Non-linear",'Step 1 - Capacity'!M20,IF('Step 1 - Capacity'!M12="Off-line",VLOOKUP('Step 1 - Capacity'!M$20,Lookup!$K$4:$L$8,2,0),IF(M19="Random",VLOOKUP(M$20,Lookup!$G$4:$H$8,2,0),VLOOKUP('Step 1 - Capacity'!M20,Lookup!$I$4:$J$8,2,0))))</f>
        <v>#N/A</v>
      </c>
      <c r="N37" s="45" t="e">
        <f>IF(N21="Non-linear",'Step 1 - Capacity'!N20,IF('Step 1 - Capacity'!N12="Off-line",VLOOKUP('Step 1 - Capacity'!N$20,Lookup!$K$4:$L$8,2,0),IF(N19="Random",VLOOKUP(N$20,Lookup!$G$4:$H$8,2,0),VLOOKUP('Step 1 - Capacity'!N20,Lookup!$I$4:$J$8,2,0))))</f>
        <v>#N/A</v>
      </c>
      <c r="O37" s="45" t="e">
        <f>IF(O21="Non-linear",'Step 1 - Capacity'!O20,IF('Step 1 - Capacity'!O12="Off-line",VLOOKUP('Step 1 - Capacity'!O$20,Lookup!$K$4:$L$8,2,0),IF(O19="Random",VLOOKUP(O$20,Lookup!$G$4:$H$8,2,0),VLOOKUP('Step 1 - Capacity'!O20,Lookup!$I$4:$J$8,2,0))))</f>
        <v>#N/A</v>
      </c>
      <c r="P37" s="45" t="e">
        <f>IF(P21="Non-linear",'Step 1 - Capacity'!P20,IF('Step 1 - Capacity'!P12="Off-line",VLOOKUP('Step 1 - Capacity'!P$20,Lookup!$K$4:$L$8,2,0),IF(P19="Random",VLOOKUP(P$20,Lookup!$G$4:$H$8,2,0),VLOOKUP('Step 1 - Capacity'!P20,Lookup!$I$4:$J$8,2,0))))</f>
        <v>#N/A</v>
      </c>
      <c r="Q37" s="45" t="e">
        <f>IF(Q21="Non-linear",'Step 1 - Capacity'!Q20,IF('Step 1 - Capacity'!Q12="Off-line",VLOOKUP('Step 1 - Capacity'!Q$20,Lookup!$K$4:$L$8,2,0),IF(Q19="Random",VLOOKUP(Q$20,Lookup!$G$4:$H$8,2,0),VLOOKUP('Step 1 - Capacity'!Q20,Lookup!$I$4:$J$8,2,0))))</f>
        <v>#N/A</v>
      </c>
      <c r="R37" s="45" t="e">
        <f>IF(R21="Non-linear",'Step 1 - Capacity'!R20,IF('Step 1 - Capacity'!R12="Off-line",VLOOKUP('Step 1 - Capacity'!R$20,Lookup!$K$4:$L$8,2,0),IF(R19="Random",VLOOKUP(R$20,Lookup!$G$4:$H$8,2,0),VLOOKUP('Step 1 - Capacity'!R20,Lookup!$I$4:$J$8,2,0))))</f>
        <v>#N/A</v>
      </c>
      <c r="S37" s="45" t="e">
        <f>IF(S21="Non-linear",'Step 1 - Capacity'!S20,IF('Step 1 - Capacity'!S12="Off-line",VLOOKUP('Step 1 - Capacity'!S$20,Lookup!$K$4:$L$8,2,0),IF(S19="Random",VLOOKUP(S$20,Lookup!$G$4:$H$8,2,0),VLOOKUP('Step 1 - Capacity'!S20,Lookup!$I$4:$J$8,2,0))))</f>
        <v>#N/A</v>
      </c>
      <c r="T37" s="45" t="e">
        <f>IF(T21="Non-linear",'Step 1 - Capacity'!T20,IF('Step 1 - Capacity'!T12="Off-line",VLOOKUP('Step 1 - Capacity'!T$20,Lookup!$K$4:$L$8,2,0),IF(T19="Random",VLOOKUP(T$20,Lookup!$G$4:$H$8,2,0),VLOOKUP('Step 1 - Capacity'!T20,Lookup!$I$4:$J$8,2,0))))</f>
        <v>#N/A</v>
      </c>
      <c r="U37" s="45" t="e">
        <f>IF(U21="Non-linear",'Step 1 - Capacity'!U20,IF('Step 1 - Capacity'!U12="Off-line",VLOOKUP('Step 1 - Capacity'!U$20,Lookup!$K$4:$L$8,2,0),IF(U19="Random",VLOOKUP(U$20,Lookup!$G$4:$H$8,2,0),VLOOKUP('Step 1 - Capacity'!U20,Lookup!$I$4:$J$8,2,0))))</f>
        <v>#N/A</v>
      </c>
      <c r="V37" s="45" t="e">
        <f>IF(V21="Non-linear",'Step 1 - Capacity'!V20,IF('Step 1 - Capacity'!V12="Off-line",VLOOKUP('Step 1 - Capacity'!V$20,Lookup!$K$4:$L$8,2,0),IF(V19="Random",VLOOKUP(V$20,Lookup!$G$4:$H$8,2,0),VLOOKUP('Step 1 - Capacity'!V20,Lookup!$I$4:$J$8,2,0))))</f>
        <v>#N/A</v>
      </c>
      <c r="W37" s="45" t="e">
        <f>IF(W21="Non-linear",'Step 1 - Capacity'!W20,IF('Step 1 - Capacity'!W12="Off-line",VLOOKUP('Step 1 - Capacity'!W$20,Lookup!$K$4:$L$8,2,0),IF(W19="Random",VLOOKUP(W$20,Lookup!$G$4:$H$8,2,0),VLOOKUP('Step 1 - Capacity'!W20,Lookup!$I$4:$J$8,2,0))))</f>
        <v>#N/A</v>
      </c>
      <c r="X37" s="45" t="e">
        <f>IF(X21="Non-linear",'Step 1 - Capacity'!X20,IF('Step 1 - Capacity'!X12="Off-line",VLOOKUP('Step 1 - Capacity'!X$20,Lookup!$K$4:$L$8,2,0),IF(X19="Random",VLOOKUP(X$20,Lookup!$G$4:$H$8,2,0),VLOOKUP('Step 1 - Capacity'!X20,Lookup!$I$4:$J$8,2,0))))</f>
        <v>#N/A</v>
      </c>
      <c r="Y37" s="21"/>
    </row>
    <row r="38" spans="2:25" ht="14.25">
      <c r="B38" s="9"/>
      <c r="C38" s="31" t="s">
        <v>33</v>
      </c>
      <c r="D38" s="31" t="s">
        <v>30</v>
      </c>
      <c r="E38" s="35">
        <f t="shared" ref="E38:X38" si="14">VLOOKUP(E14,BusStopLocationFactors,E22+1)</f>
        <v>0.5</v>
      </c>
      <c r="F38" s="35">
        <f t="shared" si="14"/>
        <v>0.5</v>
      </c>
      <c r="G38" s="35">
        <f t="shared" si="14"/>
        <v>0.5</v>
      </c>
      <c r="H38" s="35">
        <f t="shared" si="14"/>
        <v>0.5</v>
      </c>
      <c r="I38" s="35">
        <f t="shared" si="14"/>
        <v>0.5</v>
      </c>
      <c r="J38" s="35">
        <f t="shared" si="14"/>
        <v>0.5</v>
      </c>
      <c r="K38" s="35">
        <f t="shared" si="14"/>
        <v>0.5</v>
      </c>
      <c r="L38" s="35">
        <f t="shared" si="14"/>
        <v>0.5</v>
      </c>
      <c r="M38" s="35" t="e">
        <f t="shared" si="14"/>
        <v>#N/A</v>
      </c>
      <c r="N38" s="35" t="e">
        <f t="shared" si="14"/>
        <v>#N/A</v>
      </c>
      <c r="O38" s="35" t="e">
        <f t="shared" si="14"/>
        <v>#N/A</v>
      </c>
      <c r="P38" s="35" t="e">
        <f t="shared" si="14"/>
        <v>#N/A</v>
      </c>
      <c r="Q38" s="35" t="e">
        <f t="shared" si="14"/>
        <v>#N/A</v>
      </c>
      <c r="R38" s="35" t="e">
        <f t="shared" si="14"/>
        <v>#N/A</v>
      </c>
      <c r="S38" s="35" t="e">
        <f t="shared" si="14"/>
        <v>#N/A</v>
      </c>
      <c r="T38" s="35" t="e">
        <f t="shared" si="14"/>
        <v>#N/A</v>
      </c>
      <c r="U38" s="35" t="e">
        <f t="shared" si="14"/>
        <v>#N/A</v>
      </c>
      <c r="V38" s="35" t="e">
        <f t="shared" si="14"/>
        <v>#N/A</v>
      </c>
      <c r="W38" s="35" t="e">
        <f t="shared" si="14"/>
        <v>#N/A</v>
      </c>
      <c r="X38" s="35" t="e">
        <f t="shared" si="14"/>
        <v>#N/A</v>
      </c>
      <c r="Y38" s="21"/>
    </row>
    <row r="39" spans="2:25" ht="14.25">
      <c r="B39" s="9"/>
      <c r="C39" s="31" t="s">
        <v>170</v>
      </c>
      <c r="D39" s="31" t="s">
        <v>174</v>
      </c>
      <c r="E39" s="49">
        <f t="shared" ref="E39:X39" si="15">IF(E13="","",VLOOKUP(E13,SatFlowRates,2)*E10)</f>
        <v>731.25</v>
      </c>
      <c r="F39" s="49">
        <f t="shared" si="15"/>
        <v>731.25</v>
      </c>
      <c r="G39" s="49">
        <f t="shared" si="15"/>
        <v>731.25</v>
      </c>
      <c r="H39" s="49">
        <f t="shared" si="15"/>
        <v>731.25</v>
      </c>
      <c r="I39" s="49">
        <f t="shared" si="15"/>
        <v>731.25</v>
      </c>
      <c r="J39" s="49">
        <f t="shared" si="15"/>
        <v>731.25</v>
      </c>
      <c r="K39" s="49">
        <f t="shared" si="15"/>
        <v>731.25</v>
      </c>
      <c r="L39" s="49">
        <f t="shared" si="15"/>
        <v>731.25</v>
      </c>
      <c r="M39" s="49" t="str">
        <f t="shared" si="15"/>
        <v/>
      </c>
      <c r="N39" s="49" t="str">
        <f t="shared" si="15"/>
        <v/>
      </c>
      <c r="O39" s="49" t="str">
        <f t="shared" si="15"/>
        <v/>
      </c>
      <c r="P39" s="49" t="str">
        <f t="shared" si="15"/>
        <v/>
      </c>
      <c r="Q39" s="49" t="str">
        <f t="shared" si="15"/>
        <v/>
      </c>
      <c r="R39" s="49" t="str">
        <f t="shared" si="15"/>
        <v/>
      </c>
      <c r="S39" s="49" t="str">
        <f t="shared" si="15"/>
        <v/>
      </c>
      <c r="T39" s="49" t="str">
        <f t="shared" si="15"/>
        <v/>
      </c>
      <c r="U39" s="49" t="str">
        <f t="shared" si="15"/>
        <v/>
      </c>
      <c r="V39" s="49" t="str">
        <f t="shared" si="15"/>
        <v/>
      </c>
      <c r="W39" s="49" t="str">
        <f t="shared" si="15"/>
        <v/>
      </c>
      <c r="X39" s="49" t="str">
        <f t="shared" si="15"/>
        <v/>
      </c>
      <c r="Y39" s="21"/>
    </row>
    <row r="40" spans="2:25" ht="14.25">
      <c r="B40" s="9"/>
      <c r="C40" s="31" t="s">
        <v>175</v>
      </c>
      <c r="D40" s="31" t="s">
        <v>176</v>
      </c>
      <c r="E40" s="49">
        <f>1450*E10*(1-(E18/2000))*(IF(OR(E13="Metro CBD",E13="Other CBD"),1,1.1))</f>
        <v>639.44999999999993</v>
      </c>
      <c r="F40" s="49">
        <f t="shared" ref="F40:X40" si="16">1450*F10*(1-(F18/2000))*(IF(OR(F13="Metro CBD",F13="Other CBD"),1,1.1))</f>
        <v>629.66250000000002</v>
      </c>
      <c r="G40" s="49">
        <f t="shared" si="16"/>
        <v>606.82499999999993</v>
      </c>
      <c r="H40" s="49">
        <f t="shared" si="16"/>
        <v>613.34999999999991</v>
      </c>
      <c r="I40" s="49">
        <f t="shared" si="16"/>
        <v>561.15</v>
      </c>
      <c r="J40" s="49">
        <f t="shared" si="16"/>
        <v>522</v>
      </c>
      <c r="K40" s="49">
        <f t="shared" si="16"/>
        <v>613.34999999999991</v>
      </c>
      <c r="L40" s="49">
        <f t="shared" si="16"/>
        <v>626.4</v>
      </c>
      <c r="M40" s="49">
        <f t="shared" si="16"/>
        <v>0</v>
      </c>
      <c r="N40" s="49">
        <f t="shared" si="16"/>
        <v>0</v>
      </c>
      <c r="O40" s="49">
        <f t="shared" si="16"/>
        <v>0</v>
      </c>
      <c r="P40" s="49">
        <f t="shared" si="16"/>
        <v>0</v>
      </c>
      <c r="Q40" s="49">
        <f t="shared" si="16"/>
        <v>0</v>
      </c>
      <c r="R40" s="49">
        <f t="shared" si="16"/>
        <v>0</v>
      </c>
      <c r="S40" s="49">
        <f t="shared" si="16"/>
        <v>0</v>
      </c>
      <c r="T40" s="49">
        <f t="shared" si="16"/>
        <v>0</v>
      </c>
      <c r="U40" s="49">
        <f t="shared" si="16"/>
        <v>0</v>
      </c>
      <c r="V40" s="49">
        <f t="shared" si="16"/>
        <v>0</v>
      </c>
      <c r="W40" s="49">
        <f t="shared" si="16"/>
        <v>0</v>
      </c>
      <c r="X40" s="49">
        <f t="shared" si="16"/>
        <v>0</v>
      </c>
      <c r="Y40" s="21"/>
    </row>
    <row r="41" spans="2:25" ht="14.25">
      <c r="B41" s="9"/>
      <c r="C41" s="31" t="s">
        <v>179</v>
      </c>
      <c r="D41" s="31" t="s">
        <v>180</v>
      </c>
      <c r="E41" s="49">
        <f t="shared" ref="E41:F41" si="17">(E39*(E16-E17)/E16)+(E40*E17/E16)</f>
        <v>663.08168316831677</v>
      </c>
      <c r="F41" s="49">
        <f t="shared" si="17"/>
        <v>649.08363970588243</v>
      </c>
      <c r="G41" s="49">
        <f>(G39*(G16-G17)/G16)+(G40*G17/G16)</f>
        <v>731.25</v>
      </c>
      <c r="H41" s="49">
        <f t="shared" ref="H41:X41" si="18">(H39*(H16-H17)/H16)+(H40*H17/H16)</f>
        <v>629.83064516129025</v>
      </c>
      <c r="I41" s="49">
        <f t="shared" si="18"/>
        <v>731.25</v>
      </c>
      <c r="J41" s="49">
        <f t="shared" si="18"/>
        <v>585.26162790697674</v>
      </c>
      <c r="K41" s="49">
        <f t="shared" si="18"/>
        <v>642.26886792452819</v>
      </c>
      <c r="L41" s="49">
        <f t="shared" si="18"/>
        <v>653.39108910891093</v>
      </c>
      <c r="M41" s="49" t="e">
        <f t="shared" si="18"/>
        <v>#VALUE!</v>
      </c>
      <c r="N41" s="49" t="e">
        <f t="shared" si="18"/>
        <v>#VALUE!</v>
      </c>
      <c r="O41" s="49" t="e">
        <f t="shared" si="18"/>
        <v>#VALUE!</v>
      </c>
      <c r="P41" s="49" t="e">
        <f t="shared" si="18"/>
        <v>#VALUE!</v>
      </c>
      <c r="Q41" s="49" t="e">
        <f t="shared" si="18"/>
        <v>#VALUE!</v>
      </c>
      <c r="R41" s="49" t="e">
        <f t="shared" si="18"/>
        <v>#VALUE!</v>
      </c>
      <c r="S41" s="49" t="e">
        <f t="shared" si="18"/>
        <v>#VALUE!</v>
      </c>
      <c r="T41" s="49" t="e">
        <f t="shared" si="18"/>
        <v>#VALUE!</v>
      </c>
      <c r="U41" s="49" t="e">
        <f t="shared" si="18"/>
        <v>#VALUE!</v>
      </c>
      <c r="V41" s="49" t="e">
        <f t="shared" si="18"/>
        <v>#VALUE!</v>
      </c>
      <c r="W41" s="49" t="e">
        <f t="shared" si="18"/>
        <v>#VALUE!</v>
      </c>
      <c r="X41" s="49" t="e">
        <f t="shared" si="18"/>
        <v>#VALUE!</v>
      </c>
      <c r="Y41" s="21"/>
    </row>
    <row r="42" spans="2:25" ht="14.25">
      <c r="B42" s="9"/>
      <c r="C42" s="31" t="s">
        <v>181</v>
      </c>
      <c r="D42" s="31" t="s">
        <v>182</v>
      </c>
      <c r="E42" s="45">
        <f t="shared" ref="E42:F42" si="19">1-(E38*E16/E41)</f>
        <v>0.92384045392612502</v>
      </c>
      <c r="F42" s="45">
        <f t="shared" si="19"/>
        <v>0.89523692196153237</v>
      </c>
      <c r="G42" s="45">
        <f>1-(G38*G16/G41)</f>
        <v>0.98222222222222222</v>
      </c>
      <c r="H42" s="45">
        <f t="shared" ref="H42:X42" si="20">1-(H38*H16/H41)</f>
        <v>0.85234125917105208</v>
      </c>
      <c r="I42" s="45">
        <f t="shared" si="20"/>
        <v>0.98222222222222222</v>
      </c>
      <c r="J42" s="45">
        <f t="shared" si="20"/>
        <v>0.92652858491034618</v>
      </c>
      <c r="K42" s="45">
        <f t="shared" si="20"/>
        <v>0.91748004200909217</v>
      </c>
      <c r="L42" s="45">
        <f t="shared" si="20"/>
        <v>0.92271091411902872</v>
      </c>
      <c r="M42" s="45" t="e">
        <f t="shared" si="20"/>
        <v>#N/A</v>
      </c>
      <c r="N42" s="45" t="e">
        <f t="shared" si="20"/>
        <v>#N/A</v>
      </c>
      <c r="O42" s="45" t="e">
        <f t="shared" si="20"/>
        <v>#N/A</v>
      </c>
      <c r="P42" s="45" t="e">
        <f t="shared" si="20"/>
        <v>#N/A</v>
      </c>
      <c r="Q42" s="45" t="e">
        <f t="shared" si="20"/>
        <v>#N/A</v>
      </c>
      <c r="R42" s="45" t="e">
        <f t="shared" si="20"/>
        <v>#N/A</v>
      </c>
      <c r="S42" s="45" t="e">
        <f t="shared" si="20"/>
        <v>#N/A</v>
      </c>
      <c r="T42" s="45" t="e">
        <f t="shared" si="20"/>
        <v>#N/A</v>
      </c>
      <c r="U42" s="45" t="e">
        <f t="shared" si="20"/>
        <v>#N/A</v>
      </c>
      <c r="V42" s="45" t="e">
        <f t="shared" si="20"/>
        <v>#N/A</v>
      </c>
      <c r="W42" s="45" t="e">
        <f t="shared" si="20"/>
        <v>#N/A</v>
      </c>
      <c r="X42" s="45" t="e">
        <f t="shared" si="20"/>
        <v>#N/A</v>
      </c>
      <c r="Y42" s="21"/>
    </row>
    <row r="43" spans="2:25">
      <c r="B43" s="9"/>
      <c r="C43" s="10"/>
      <c r="D43" s="10"/>
      <c r="E43" s="20"/>
      <c r="F43" s="10"/>
      <c r="G43" s="10"/>
      <c r="H43" s="10"/>
      <c r="I43" s="10"/>
      <c r="J43" s="10"/>
      <c r="K43" s="10"/>
      <c r="L43" s="10"/>
      <c r="M43" s="10"/>
      <c r="N43" s="10"/>
      <c r="O43" s="10"/>
      <c r="P43" s="10"/>
      <c r="Q43" s="10"/>
      <c r="R43" s="10"/>
      <c r="S43" s="10"/>
      <c r="T43" s="10"/>
      <c r="U43" s="10"/>
      <c r="V43" s="10"/>
      <c r="W43" s="10"/>
      <c r="X43" s="10"/>
      <c r="Y43" s="21"/>
    </row>
    <row r="44" spans="2:25">
      <c r="B44" s="9"/>
      <c r="C44" s="17" t="s">
        <v>9</v>
      </c>
      <c r="D44" s="17"/>
      <c r="E44" s="30"/>
      <c r="F44" s="17"/>
      <c r="G44" s="17"/>
      <c r="H44" s="17"/>
      <c r="I44" s="17"/>
      <c r="J44" s="17"/>
      <c r="K44" s="17"/>
      <c r="L44" s="17"/>
      <c r="M44" s="17"/>
      <c r="N44" s="17"/>
      <c r="O44" s="17"/>
      <c r="P44" s="17"/>
      <c r="Q44" s="17"/>
      <c r="R44" s="17"/>
      <c r="S44" s="17"/>
      <c r="T44" s="17"/>
      <c r="U44" s="17"/>
      <c r="V44" s="17"/>
      <c r="W44" s="17"/>
      <c r="X44" s="17"/>
      <c r="Y44" s="21"/>
    </row>
    <row r="45" spans="2:25" ht="18">
      <c r="B45" s="9"/>
      <c r="C45" s="34" t="s">
        <v>25</v>
      </c>
      <c r="D45" s="34" t="s">
        <v>127</v>
      </c>
      <c r="E45" s="55">
        <f>IF(OR(E$7="",E$8="",E$9="",E$10="",E$12="",E$16="",E$19="",E$20="",E$21=""),"",ROUNDDOWN(E37*E36*E42,0))</f>
        <v>47</v>
      </c>
      <c r="F45" s="55">
        <f t="shared" ref="F45:X45" si="21">IF(OR(F$7="",F$8="",F$9="",F$10="",F$12="",F$16="",F$19="",F$20="",F$21=""),"",ROUNDDOWN(F37*F36*F42,0))</f>
        <v>36</v>
      </c>
      <c r="G45" s="55">
        <f t="shared" si="21"/>
        <v>42</v>
      </c>
      <c r="H45" s="55">
        <f t="shared" si="21"/>
        <v>56</v>
      </c>
      <c r="I45" s="55">
        <f t="shared" si="21"/>
        <v>37</v>
      </c>
      <c r="J45" s="55">
        <f t="shared" si="21"/>
        <v>45</v>
      </c>
      <c r="K45" s="55">
        <f t="shared" si="21"/>
        <v>47</v>
      </c>
      <c r="L45" s="55">
        <f t="shared" si="21"/>
        <v>33</v>
      </c>
      <c r="M45" s="55" t="str">
        <f t="shared" si="21"/>
        <v/>
      </c>
      <c r="N45" s="55" t="str">
        <f t="shared" si="21"/>
        <v/>
      </c>
      <c r="O45" s="55" t="str">
        <f t="shared" si="21"/>
        <v/>
      </c>
      <c r="P45" s="55" t="str">
        <f t="shared" si="21"/>
        <v/>
      </c>
      <c r="Q45" s="55" t="str">
        <f t="shared" si="21"/>
        <v/>
      </c>
      <c r="R45" s="55" t="str">
        <f t="shared" si="21"/>
        <v/>
      </c>
      <c r="S45" s="55" t="str">
        <f t="shared" si="21"/>
        <v/>
      </c>
      <c r="T45" s="55" t="str">
        <f t="shared" si="21"/>
        <v/>
      </c>
      <c r="U45" s="55" t="str">
        <f t="shared" si="21"/>
        <v/>
      </c>
      <c r="V45" s="55" t="str">
        <f t="shared" si="21"/>
        <v/>
      </c>
      <c r="W45" s="55" t="str">
        <f t="shared" si="21"/>
        <v/>
      </c>
      <c r="X45" s="55" t="str">
        <f t="shared" si="21"/>
        <v/>
      </c>
      <c r="Y45" s="21"/>
    </row>
    <row r="46" spans="2:25">
      <c r="B46" s="9"/>
      <c r="C46" s="10"/>
      <c r="D46" s="72" t="s">
        <v>186</v>
      </c>
      <c r="E46" s="72">
        <f>IF(OR(E$7="",E$8="",E$9="",E$10="",E$12="",E$16="",E$19="",E$20="",E$21=""),"",ROUNDDOWN(3600*E10/(E34+(E9*E10)+(0.675*E9*E7))*E37*E42,0))</f>
        <v>55</v>
      </c>
      <c r="F46" s="72">
        <f t="shared" ref="F46:X46" si="22">IF(OR(F$7="",F$8="",F$9="",F$10="",F$12="",F$16="",F$19="",F$20="",F$21=""),"",ROUNDDOWN(3600*F10/(F34+(F9*F10)+(0.675*F9*F7))*F37*F42,0))</f>
        <v>42</v>
      </c>
      <c r="G46" s="72">
        <f t="shared" si="22"/>
        <v>51</v>
      </c>
      <c r="H46" s="72">
        <f t="shared" si="22"/>
        <v>56</v>
      </c>
      <c r="I46" s="72">
        <f t="shared" si="22"/>
        <v>45</v>
      </c>
      <c r="J46" s="72">
        <f t="shared" si="22"/>
        <v>55</v>
      </c>
      <c r="K46" s="72">
        <f t="shared" si="22"/>
        <v>54</v>
      </c>
      <c r="L46" s="72">
        <f t="shared" si="22"/>
        <v>40</v>
      </c>
      <c r="M46" s="72" t="str">
        <f t="shared" si="22"/>
        <v/>
      </c>
      <c r="N46" s="72" t="str">
        <f t="shared" si="22"/>
        <v/>
      </c>
      <c r="O46" s="72" t="str">
        <f t="shared" si="22"/>
        <v/>
      </c>
      <c r="P46" s="72" t="str">
        <f t="shared" si="22"/>
        <v/>
      </c>
      <c r="Q46" s="72" t="str">
        <f t="shared" si="22"/>
        <v/>
      </c>
      <c r="R46" s="72" t="str">
        <f t="shared" si="22"/>
        <v/>
      </c>
      <c r="S46" s="72" t="str">
        <f t="shared" si="22"/>
        <v/>
      </c>
      <c r="T46" s="72" t="str">
        <f t="shared" si="22"/>
        <v/>
      </c>
      <c r="U46" s="72" t="str">
        <f t="shared" si="22"/>
        <v/>
      </c>
      <c r="V46" s="72" t="str">
        <f t="shared" si="22"/>
        <v/>
      </c>
      <c r="W46" s="72" t="str">
        <f t="shared" si="22"/>
        <v/>
      </c>
      <c r="X46" s="72" t="str">
        <f t="shared" si="22"/>
        <v/>
      </c>
      <c r="Y46" s="21"/>
    </row>
    <row r="47" spans="2:25">
      <c r="B47" s="9"/>
      <c r="C47" s="34" t="s">
        <v>31</v>
      </c>
      <c r="D47" s="34" t="s">
        <v>184</v>
      </c>
      <c r="E47" s="55">
        <f>MIN(E45:X45)</f>
        <v>33</v>
      </c>
      <c r="F47" s="73">
        <f>MIN(E46:X46)</f>
        <v>40</v>
      </c>
      <c r="G47" s="78">
        <f>MIN(E46,G46,I46,K46,M46,O46,Q46,S46,U46,W46)</f>
        <v>45</v>
      </c>
      <c r="H47" s="78">
        <f>MIN(E46,H46,K46,N46,Q46,T46,W46)</f>
        <v>54</v>
      </c>
      <c r="I47" s="78">
        <f>MIN(E46,I46,M46,Q46,U46)</f>
        <v>45</v>
      </c>
      <c r="J47" s="78">
        <f>MIN(F46,H46,J46,L46,N46,P46,R46,T46,V46,X46)</f>
        <v>40</v>
      </c>
      <c r="K47" s="78">
        <f>MIN(F46,I46,L46,O46,R46,U46,X46)</f>
        <v>40</v>
      </c>
      <c r="L47" s="78">
        <f>MIN(F46,J46,N46,R46,V46)</f>
        <v>42</v>
      </c>
      <c r="M47" s="78"/>
      <c r="N47" s="78">
        <f>MIN(G46,J46,M46,P46,S46,V46)</f>
        <v>51</v>
      </c>
      <c r="O47" s="78">
        <f>MIN(G46,K46,O46,S46,W46)</f>
        <v>51</v>
      </c>
      <c r="P47" s="78"/>
      <c r="Q47" s="79"/>
      <c r="R47" s="78">
        <f>MIN(H46,L46,P46,T46,X46)</f>
        <v>40</v>
      </c>
      <c r="S47" s="10"/>
      <c r="T47" s="10"/>
      <c r="U47" s="10"/>
      <c r="V47" s="10"/>
      <c r="W47" s="10"/>
      <c r="X47" s="10"/>
      <c r="Y47" s="21"/>
    </row>
    <row r="48" spans="2:25">
      <c r="B48" s="9"/>
      <c r="C48" s="10"/>
      <c r="D48" s="10"/>
      <c r="E48" s="10"/>
      <c r="F48" s="10"/>
      <c r="G48" s="10"/>
      <c r="H48" s="10"/>
      <c r="I48" s="10"/>
      <c r="J48" s="10"/>
      <c r="K48" s="10"/>
      <c r="L48" s="10"/>
      <c r="M48" s="10"/>
      <c r="N48" s="10"/>
      <c r="O48" s="10"/>
      <c r="P48" s="10"/>
      <c r="Q48" s="10"/>
      <c r="R48" s="10"/>
      <c r="S48" s="10"/>
      <c r="T48" s="10"/>
      <c r="U48" s="10"/>
      <c r="V48" s="10"/>
      <c r="W48" s="10"/>
      <c r="X48" s="10"/>
      <c r="Y48" s="21"/>
    </row>
    <row r="49" spans="2:25" ht="15.75">
      <c r="B49" s="9"/>
      <c r="C49" s="25" t="s">
        <v>24</v>
      </c>
      <c r="D49" s="10"/>
      <c r="F49" s="10"/>
      <c r="G49" s="10"/>
      <c r="H49" s="10"/>
      <c r="I49" s="10"/>
      <c r="J49" s="10"/>
      <c r="K49" s="10"/>
      <c r="L49" s="10"/>
      <c r="M49" s="10"/>
      <c r="N49" s="10"/>
      <c r="O49" s="10"/>
      <c r="P49" s="10"/>
      <c r="Q49" s="10"/>
      <c r="R49" s="10"/>
      <c r="S49" s="10"/>
      <c r="T49" s="10"/>
      <c r="U49" s="10"/>
      <c r="V49" s="10"/>
      <c r="W49" s="10"/>
      <c r="X49" s="10"/>
      <c r="Y49" s="21"/>
    </row>
    <row r="50" spans="2:25">
      <c r="B50" s="9"/>
      <c r="C50" s="17" t="s">
        <v>7</v>
      </c>
      <c r="D50" s="17"/>
      <c r="E50" s="43">
        <v>1</v>
      </c>
      <c r="F50" s="43">
        <v>2</v>
      </c>
      <c r="G50" s="43">
        <v>3</v>
      </c>
      <c r="H50" s="43">
        <v>4</v>
      </c>
      <c r="I50" s="43">
        <v>5</v>
      </c>
      <c r="J50" s="43">
        <v>6</v>
      </c>
      <c r="K50" s="43">
        <v>7</v>
      </c>
      <c r="L50" s="43">
        <v>8</v>
      </c>
      <c r="M50" s="43">
        <v>9</v>
      </c>
      <c r="N50" s="43">
        <v>10</v>
      </c>
      <c r="O50" s="43">
        <v>11</v>
      </c>
      <c r="P50" s="43">
        <v>12</v>
      </c>
      <c r="Q50" s="43">
        <v>13</v>
      </c>
      <c r="R50" s="43">
        <v>14</v>
      </c>
      <c r="S50" s="43">
        <v>15</v>
      </c>
      <c r="T50" s="43">
        <v>16</v>
      </c>
      <c r="U50" s="43">
        <v>17</v>
      </c>
      <c r="V50" s="43">
        <v>18</v>
      </c>
      <c r="W50" s="43">
        <v>19</v>
      </c>
      <c r="X50" s="43">
        <v>20</v>
      </c>
      <c r="Y50" s="21"/>
    </row>
    <row r="51" spans="2:25" ht="14.25">
      <c r="B51" s="9"/>
      <c r="C51" s="38" t="s">
        <v>17</v>
      </c>
      <c r="D51" s="39" t="s">
        <v>13</v>
      </c>
      <c r="E51" s="42">
        <v>0.6</v>
      </c>
      <c r="F51" s="42">
        <v>0.6</v>
      </c>
      <c r="G51" s="42">
        <v>0.6</v>
      </c>
      <c r="H51" s="42">
        <v>0.6</v>
      </c>
      <c r="I51" s="42">
        <v>0.6</v>
      </c>
      <c r="J51" s="42">
        <v>0.6</v>
      </c>
      <c r="K51" s="42">
        <v>0.6</v>
      </c>
      <c r="L51" s="42">
        <v>0.6</v>
      </c>
      <c r="M51" s="42"/>
      <c r="N51" s="42"/>
      <c r="O51" s="42"/>
      <c r="P51" s="42"/>
      <c r="Q51" s="42"/>
      <c r="R51" s="42"/>
      <c r="S51" s="42"/>
      <c r="T51" s="42"/>
      <c r="U51" s="42"/>
      <c r="V51" s="42"/>
      <c r="W51" s="42"/>
      <c r="X51" s="42"/>
      <c r="Y51" s="21"/>
    </row>
    <row r="52" spans="2:25">
      <c r="B52" s="9"/>
      <c r="C52" s="38"/>
      <c r="D52" s="39" t="s">
        <v>0</v>
      </c>
      <c r="E52" s="40">
        <v>0.15</v>
      </c>
      <c r="F52" s="40">
        <v>0.15</v>
      </c>
      <c r="G52" s="40">
        <v>0.15</v>
      </c>
      <c r="H52" s="40">
        <v>0.15</v>
      </c>
      <c r="I52" s="40">
        <v>0.15</v>
      </c>
      <c r="J52" s="40">
        <v>0.15</v>
      </c>
      <c r="K52" s="40">
        <v>0.15</v>
      </c>
      <c r="L52" s="40">
        <v>0.15</v>
      </c>
      <c r="M52" s="40"/>
      <c r="N52" s="40"/>
      <c r="O52" s="40"/>
      <c r="P52" s="40"/>
      <c r="Q52" s="40"/>
      <c r="R52" s="40"/>
      <c r="S52" s="40"/>
      <c r="T52" s="40"/>
      <c r="U52" s="40"/>
      <c r="V52" s="40"/>
      <c r="W52" s="40"/>
      <c r="X52" s="40"/>
      <c r="Y52" s="21"/>
    </row>
    <row r="53" spans="2:25" ht="14.25">
      <c r="B53" s="9"/>
      <c r="C53" s="38" t="s">
        <v>18</v>
      </c>
      <c r="D53" s="39" t="s">
        <v>128</v>
      </c>
      <c r="E53" s="62">
        <v>16</v>
      </c>
      <c r="F53" s="62">
        <v>24</v>
      </c>
      <c r="G53" s="62">
        <v>44</v>
      </c>
      <c r="H53" s="62">
        <v>52</v>
      </c>
      <c r="I53" s="62">
        <v>40</v>
      </c>
      <c r="J53" s="62">
        <v>60</v>
      </c>
      <c r="K53" s="62">
        <v>24</v>
      </c>
      <c r="L53" s="62">
        <v>20</v>
      </c>
      <c r="M53" s="62"/>
      <c r="N53" s="62"/>
      <c r="O53" s="62"/>
      <c r="P53" s="62"/>
      <c r="Q53" s="62"/>
      <c r="R53" s="62"/>
      <c r="S53" s="62"/>
      <c r="T53" s="62"/>
      <c r="U53" s="62"/>
      <c r="V53" s="62"/>
      <c r="W53" s="62"/>
      <c r="X53" s="62"/>
      <c r="Y53" s="21"/>
    </row>
    <row r="54" spans="2:25">
      <c r="B54" s="9"/>
      <c r="C54" s="38" t="s">
        <v>15</v>
      </c>
      <c r="D54" s="38" t="s">
        <v>16</v>
      </c>
      <c r="E54" s="42">
        <v>0.45</v>
      </c>
      <c r="F54" s="42">
        <v>0.45</v>
      </c>
      <c r="G54" s="42">
        <v>0.45</v>
      </c>
      <c r="H54" s="42">
        <v>0.45</v>
      </c>
      <c r="I54" s="42">
        <v>0.45</v>
      </c>
      <c r="J54" s="42">
        <v>0.45</v>
      </c>
      <c r="K54" s="42">
        <v>0.45</v>
      </c>
      <c r="L54" s="42">
        <v>0.45</v>
      </c>
      <c r="M54" s="42"/>
      <c r="N54" s="42"/>
      <c r="O54" s="42"/>
      <c r="P54" s="42"/>
      <c r="Q54" s="42"/>
      <c r="R54" s="42"/>
      <c r="S54" s="42"/>
      <c r="T54" s="42"/>
      <c r="U54" s="42"/>
      <c r="V54" s="42"/>
      <c r="W54" s="42"/>
      <c r="X54" s="42"/>
      <c r="Y54" s="21"/>
    </row>
    <row r="55" spans="2:25">
      <c r="B55" s="9"/>
      <c r="C55" s="38" t="s">
        <v>142</v>
      </c>
      <c r="D55" s="38" t="s">
        <v>143</v>
      </c>
      <c r="E55" s="62">
        <v>80</v>
      </c>
      <c r="F55" s="62">
        <v>80</v>
      </c>
      <c r="G55" s="62">
        <v>80</v>
      </c>
      <c r="H55" s="62">
        <v>80</v>
      </c>
      <c r="I55" s="62">
        <v>80</v>
      </c>
      <c r="J55" s="62">
        <v>80</v>
      </c>
      <c r="K55" s="62">
        <v>80</v>
      </c>
      <c r="L55" s="62">
        <v>80</v>
      </c>
      <c r="M55" s="62"/>
      <c r="N55" s="62"/>
      <c r="O55" s="62"/>
      <c r="P55" s="62"/>
      <c r="Q55" s="62"/>
      <c r="R55" s="62"/>
      <c r="S55" s="62"/>
      <c r="T55" s="62"/>
      <c r="U55" s="62"/>
      <c r="V55" s="62"/>
      <c r="W55" s="62"/>
      <c r="X55" s="62"/>
      <c r="Y55" s="21"/>
    </row>
    <row r="56" spans="2:25">
      <c r="B56" s="9"/>
      <c r="C56" s="38"/>
      <c r="D56" s="38" t="s">
        <v>26</v>
      </c>
      <c r="E56" s="41" t="s">
        <v>1</v>
      </c>
      <c r="F56" s="41" t="s">
        <v>1</v>
      </c>
      <c r="G56" s="41" t="s">
        <v>1</v>
      </c>
      <c r="H56" s="41" t="s">
        <v>1</v>
      </c>
      <c r="I56" s="41" t="s">
        <v>1</v>
      </c>
      <c r="J56" s="41" t="s">
        <v>1</v>
      </c>
      <c r="K56" s="41" t="s">
        <v>1</v>
      </c>
      <c r="L56" s="41" t="s">
        <v>1</v>
      </c>
      <c r="M56" s="41"/>
      <c r="N56" s="41"/>
      <c r="O56" s="41"/>
      <c r="P56" s="41"/>
      <c r="Q56" s="41"/>
      <c r="R56" s="41"/>
      <c r="S56" s="41"/>
      <c r="T56" s="41"/>
      <c r="U56" s="41"/>
      <c r="V56" s="41"/>
      <c r="W56" s="41"/>
      <c r="X56" s="41"/>
      <c r="Y56" s="21"/>
    </row>
    <row r="57" spans="2:25" ht="25.5">
      <c r="B57" s="9"/>
      <c r="C57" s="38"/>
      <c r="D57" s="65" t="s">
        <v>169</v>
      </c>
      <c r="E57" s="66" t="s">
        <v>164</v>
      </c>
      <c r="F57" s="66" t="s">
        <v>164</v>
      </c>
      <c r="G57" s="66" t="s">
        <v>164</v>
      </c>
      <c r="H57" s="66" t="s">
        <v>164</v>
      </c>
      <c r="I57" s="66" t="s">
        <v>164</v>
      </c>
      <c r="J57" s="66" t="s">
        <v>164</v>
      </c>
      <c r="K57" s="66" t="s">
        <v>164</v>
      </c>
      <c r="L57" s="66" t="s">
        <v>164</v>
      </c>
      <c r="M57" s="41"/>
      <c r="N57" s="41"/>
      <c r="O57" s="41"/>
      <c r="P57" s="41"/>
      <c r="Q57" s="41"/>
      <c r="R57" s="41"/>
      <c r="S57" s="41"/>
      <c r="T57" s="41"/>
      <c r="U57" s="41"/>
      <c r="V57" s="41"/>
      <c r="W57" s="41"/>
      <c r="X57" s="41"/>
      <c r="Y57" s="21"/>
    </row>
    <row r="58" spans="2:25" ht="25.5">
      <c r="B58" s="9"/>
      <c r="C58" s="65"/>
      <c r="D58" s="65" t="s">
        <v>130</v>
      </c>
      <c r="E58" s="66" t="s">
        <v>29</v>
      </c>
      <c r="F58" s="66" t="s">
        <v>29</v>
      </c>
      <c r="G58" s="66" t="s">
        <v>29</v>
      </c>
      <c r="H58" s="66" t="s">
        <v>29</v>
      </c>
      <c r="I58" s="66" t="s">
        <v>29</v>
      </c>
      <c r="J58" s="66" t="s">
        <v>29</v>
      </c>
      <c r="K58" s="66" t="s">
        <v>29</v>
      </c>
      <c r="L58" s="66" t="s">
        <v>29</v>
      </c>
      <c r="M58" s="66"/>
      <c r="N58" s="66"/>
      <c r="O58" s="66"/>
      <c r="P58" s="66"/>
      <c r="Q58" s="66"/>
      <c r="R58" s="66"/>
      <c r="S58" s="66"/>
      <c r="T58" s="66"/>
      <c r="U58" s="66"/>
      <c r="V58" s="66"/>
      <c r="W58" s="66"/>
      <c r="X58" s="66"/>
      <c r="Y58" s="21"/>
    </row>
    <row r="59" spans="2:25">
      <c r="B59" s="9"/>
      <c r="C59" s="65"/>
      <c r="D59" s="65" t="s">
        <v>158</v>
      </c>
      <c r="E59" s="66"/>
      <c r="F59" s="66"/>
      <c r="G59" s="66"/>
      <c r="H59" s="66"/>
      <c r="I59" s="66"/>
      <c r="J59" s="66"/>
      <c r="K59" s="66"/>
      <c r="L59" s="66"/>
      <c r="M59" s="66"/>
      <c r="N59" s="66"/>
      <c r="O59" s="66"/>
      <c r="P59" s="66"/>
      <c r="Q59" s="66"/>
      <c r="R59" s="66"/>
      <c r="S59" s="66"/>
      <c r="T59" s="66"/>
      <c r="U59" s="66"/>
      <c r="V59" s="66"/>
      <c r="W59" s="66"/>
      <c r="X59" s="66"/>
      <c r="Y59" s="21"/>
    </row>
    <row r="60" spans="2:25">
      <c r="B60" s="9"/>
      <c r="C60" s="38" t="s">
        <v>27</v>
      </c>
      <c r="D60" s="38" t="s">
        <v>171</v>
      </c>
      <c r="E60" s="41">
        <v>106</v>
      </c>
      <c r="F60" s="41">
        <v>146</v>
      </c>
      <c r="G60" s="41">
        <v>86</v>
      </c>
      <c r="H60" s="41">
        <v>26</v>
      </c>
      <c r="I60" s="41">
        <v>186</v>
      </c>
      <c r="J60" s="41">
        <v>26</v>
      </c>
      <c r="K60" s="41">
        <v>116</v>
      </c>
      <c r="L60" s="41">
        <v>156</v>
      </c>
      <c r="M60" s="41"/>
      <c r="N60" s="41"/>
      <c r="O60" s="41"/>
      <c r="P60" s="41"/>
      <c r="Q60" s="41"/>
      <c r="R60" s="41"/>
      <c r="S60" s="41"/>
      <c r="T60" s="41"/>
      <c r="U60" s="41"/>
      <c r="V60" s="41"/>
      <c r="W60" s="41"/>
      <c r="X60" s="41"/>
      <c r="Y60" s="21"/>
    </row>
    <row r="61" spans="2:25" ht="14.25">
      <c r="B61" s="9"/>
      <c r="C61" s="38" t="s">
        <v>172</v>
      </c>
      <c r="D61" s="38" t="s">
        <v>173</v>
      </c>
      <c r="E61" s="41">
        <v>80</v>
      </c>
      <c r="F61" s="41">
        <v>120</v>
      </c>
      <c r="G61" s="41">
        <v>60</v>
      </c>
      <c r="H61" s="41">
        <v>0</v>
      </c>
      <c r="I61" s="41">
        <v>160</v>
      </c>
      <c r="J61" s="41">
        <v>0</v>
      </c>
      <c r="K61" s="41">
        <v>90</v>
      </c>
      <c r="L61" s="41">
        <v>130</v>
      </c>
      <c r="M61" s="41"/>
      <c r="N61" s="41"/>
      <c r="O61" s="41"/>
      <c r="P61" s="41"/>
      <c r="Q61" s="41"/>
      <c r="R61" s="41"/>
      <c r="S61" s="41"/>
      <c r="T61" s="41"/>
      <c r="U61" s="41"/>
      <c r="V61" s="41"/>
      <c r="W61" s="41"/>
      <c r="X61" s="41"/>
      <c r="Y61" s="21"/>
    </row>
    <row r="62" spans="2:25" ht="14.25">
      <c r="B62" s="9"/>
      <c r="C62" s="38" t="s">
        <v>177</v>
      </c>
      <c r="D62" s="38" t="s">
        <v>178</v>
      </c>
      <c r="E62" s="41">
        <v>110</v>
      </c>
      <c r="F62" s="41">
        <v>140</v>
      </c>
      <c r="G62" s="41">
        <v>80</v>
      </c>
      <c r="H62" s="41">
        <v>300</v>
      </c>
      <c r="I62" s="41">
        <v>340</v>
      </c>
      <c r="J62" s="41">
        <v>170</v>
      </c>
      <c r="K62" s="41">
        <v>130</v>
      </c>
      <c r="L62" s="41">
        <v>140</v>
      </c>
      <c r="M62" s="41"/>
      <c r="N62" s="41"/>
      <c r="O62" s="41"/>
      <c r="P62" s="41"/>
      <c r="Q62" s="41"/>
      <c r="R62" s="41"/>
      <c r="S62" s="41"/>
      <c r="T62" s="41"/>
      <c r="U62" s="41"/>
      <c r="V62" s="41"/>
      <c r="W62" s="41"/>
      <c r="X62" s="41"/>
      <c r="Y62" s="21"/>
    </row>
    <row r="63" spans="2:25">
      <c r="B63" s="9"/>
      <c r="C63" s="38"/>
      <c r="D63" s="38" t="s">
        <v>54</v>
      </c>
      <c r="E63" s="41" t="s">
        <v>4</v>
      </c>
      <c r="F63" s="41" t="s">
        <v>4</v>
      </c>
      <c r="G63" s="41" t="s">
        <v>4</v>
      </c>
      <c r="H63" s="41" t="s">
        <v>4</v>
      </c>
      <c r="I63" s="41" t="s">
        <v>4</v>
      </c>
      <c r="J63" s="41" t="s">
        <v>4</v>
      </c>
      <c r="K63" s="41" t="s">
        <v>4</v>
      </c>
      <c r="L63" s="41" t="s">
        <v>4</v>
      </c>
      <c r="M63" s="41"/>
      <c r="N63" s="41"/>
      <c r="O63" s="41"/>
      <c r="P63" s="41"/>
      <c r="Q63" s="41"/>
      <c r="R63" s="41"/>
      <c r="S63" s="41"/>
      <c r="T63" s="41"/>
      <c r="U63" s="41"/>
      <c r="V63" s="41"/>
      <c r="W63" s="41"/>
      <c r="X63" s="41"/>
      <c r="Y63" s="21"/>
    </row>
    <row r="64" spans="2:25" ht="14.25">
      <c r="B64" s="9"/>
      <c r="C64" s="38" t="s">
        <v>157</v>
      </c>
      <c r="D64" s="38" t="s">
        <v>50</v>
      </c>
      <c r="E64" s="41">
        <v>1</v>
      </c>
      <c r="F64" s="41">
        <v>1</v>
      </c>
      <c r="G64" s="41">
        <v>2</v>
      </c>
      <c r="H64" s="41">
        <v>2</v>
      </c>
      <c r="I64" s="41">
        <v>2</v>
      </c>
      <c r="J64" s="41">
        <v>2</v>
      </c>
      <c r="K64" s="41">
        <v>1</v>
      </c>
      <c r="L64" s="41">
        <v>1</v>
      </c>
      <c r="M64" s="41"/>
      <c r="N64" s="41"/>
      <c r="O64" s="41"/>
      <c r="P64" s="41"/>
      <c r="Q64" s="41"/>
      <c r="R64" s="41"/>
      <c r="S64" s="41"/>
      <c r="T64" s="41"/>
      <c r="U64" s="41"/>
      <c r="V64" s="41"/>
      <c r="W64" s="41"/>
      <c r="X64" s="41"/>
      <c r="Y64" s="21"/>
    </row>
    <row r="65" spans="2:25">
      <c r="B65" s="9"/>
      <c r="C65" s="38"/>
      <c r="D65" s="38" t="s">
        <v>51</v>
      </c>
      <c r="E65" s="41" t="s">
        <v>52</v>
      </c>
      <c r="F65" s="41" t="s">
        <v>52</v>
      </c>
      <c r="G65" s="41" t="s">
        <v>52</v>
      </c>
      <c r="H65" s="41" t="s">
        <v>52</v>
      </c>
      <c r="I65" s="41" t="s">
        <v>52</v>
      </c>
      <c r="J65" s="41" t="s">
        <v>52</v>
      </c>
      <c r="K65" s="41" t="s">
        <v>52</v>
      </c>
      <c r="L65" s="41" t="s">
        <v>52</v>
      </c>
      <c r="M65" s="41"/>
      <c r="N65" s="41"/>
      <c r="O65" s="41"/>
      <c r="P65" s="41"/>
      <c r="Q65" s="41"/>
      <c r="R65" s="41"/>
      <c r="S65" s="41"/>
      <c r="T65" s="41"/>
      <c r="U65" s="41"/>
      <c r="V65" s="41"/>
      <c r="W65" s="41"/>
      <c r="X65" s="41"/>
      <c r="Y65" s="21"/>
    </row>
    <row r="66" spans="2:25">
      <c r="B66" s="9"/>
      <c r="C66" s="38"/>
      <c r="D66" s="38" t="s">
        <v>32</v>
      </c>
      <c r="E66" s="41">
        <v>2</v>
      </c>
      <c r="F66" s="41">
        <v>2</v>
      </c>
      <c r="G66" s="41">
        <v>2</v>
      </c>
      <c r="H66" s="41">
        <v>2</v>
      </c>
      <c r="I66" s="41">
        <v>2</v>
      </c>
      <c r="J66" s="41">
        <v>2</v>
      </c>
      <c r="K66" s="41">
        <v>2</v>
      </c>
      <c r="L66" s="41">
        <v>2</v>
      </c>
      <c r="M66" s="41">
        <v>3</v>
      </c>
      <c r="N66" s="41">
        <v>3</v>
      </c>
      <c r="O66" s="41">
        <v>2</v>
      </c>
      <c r="P66" s="41">
        <v>2</v>
      </c>
      <c r="Q66" s="41">
        <v>2</v>
      </c>
      <c r="R66" s="41">
        <v>2</v>
      </c>
      <c r="S66" s="41">
        <v>2</v>
      </c>
      <c r="T66" s="41">
        <v>2</v>
      </c>
      <c r="U66" s="41">
        <v>2</v>
      </c>
      <c r="V66" s="41">
        <v>2</v>
      </c>
      <c r="W66" s="41">
        <v>2</v>
      </c>
      <c r="X66" s="41">
        <v>2</v>
      </c>
      <c r="Y66" s="21"/>
    </row>
    <row r="67" spans="2:25">
      <c r="B67" s="9"/>
      <c r="C67" s="10"/>
      <c r="D67" s="10"/>
      <c r="E67" s="19"/>
      <c r="F67" s="10"/>
      <c r="G67" s="10"/>
      <c r="H67" s="10"/>
      <c r="I67" s="10"/>
      <c r="J67" s="10"/>
      <c r="K67" s="10"/>
      <c r="L67" s="10"/>
      <c r="M67" s="10"/>
      <c r="N67" s="10"/>
      <c r="O67" s="10"/>
      <c r="P67" s="10"/>
      <c r="Q67" s="10"/>
      <c r="R67" s="10"/>
      <c r="S67" s="10"/>
      <c r="T67" s="10"/>
      <c r="U67" s="10"/>
      <c r="V67" s="10"/>
      <c r="W67" s="10"/>
      <c r="X67" s="10"/>
      <c r="Y67" s="21"/>
    </row>
    <row r="68" spans="2:25">
      <c r="B68" s="9"/>
      <c r="C68" s="17" t="s">
        <v>8</v>
      </c>
      <c r="D68" s="26"/>
      <c r="E68" s="29"/>
      <c r="F68" s="26"/>
      <c r="G68" s="26"/>
      <c r="H68" s="26"/>
      <c r="I68" s="26"/>
      <c r="J68" s="26"/>
      <c r="K68" s="26"/>
      <c r="L68" s="26"/>
      <c r="M68" s="26"/>
      <c r="N68" s="26"/>
      <c r="O68" s="26"/>
      <c r="P68" s="26"/>
      <c r="Q68" s="26"/>
      <c r="R68" s="26"/>
      <c r="S68" s="26"/>
      <c r="T68" s="26"/>
      <c r="U68" s="26"/>
      <c r="V68" s="26"/>
      <c r="W68" s="26"/>
      <c r="X68" s="26"/>
      <c r="Y68" s="21"/>
    </row>
    <row r="69" spans="2:25">
      <c r="B69" s="9"/>
      <c r="C69" s="31" t="s">
        <v>12</v>
      </c>
      <c r="D69" s="31" t="s">
        <v>14</v>
      </c>
      <c r="E69" s="45">
        <f>ABS(_xlfn.NORM.INV(E52,0,1))</f>
        <v>1.0364333894937898</v>
      </c>
      <c r="F69" s="45">
        <f t="shared" ref="F69:X69" si="23">ABS(_xlfn.NORM.INV(F52,0,1))</f>
        <v>1.0364333894937898</v>
      </c>
      <c r="G69" s="45">
        <f t="shared" si="23"/>
        <v>1.0364333894937898</v>
      </c>
      <c r="H69" s="45">
        <f t="shared" si="23"/>
        <v>1.0364333894937898</v>
      </c>
      <c r="I69" s="45">
        <f t="shared" si="23"/>
        <v>1.0364333894937898</v>
      </c>
      <c r="J69" s="45">
        <f t="shared" si="23"/>
        <v>1.0364333894937898</v>
      </c>
      <c r="K69" s="45">
        <f t="shared" si="23"/>
        <v>1.0364333894937898</v>
      </c>
      <c r="L69" s="45">
        <f t="shared" si="23"/>
        <v>1.0364333894937898</v>
      </c>
      <c r="M69" s="45" t="e">
        <f t="shared" si="23"/>
        <v>#NUM!</v>
      </c>
      <c r="N69" s="45" t="e">
        <f t="shared" si="23"/>
        <v>#NUM!</v>
      </c>
      <c r="O69" s="45" t="e">
        <f t="shared" si="23"/>
        <v>#NUM!</v>
      </c>
      <c r="P69" s="45" t="e">
        <f t="shared" si="23"/>
        <v>#NUM!</v>
      </c>
      <c r="Q69" s="45" t="e">
        <f t="shared" si="23"/>
        <v>#NUM!</v>
      </c>
      <c r="R69" s="45" t="e">
        <f t="shared" si="23"/>
        <v>#NUM!</v>
      </c>
      <c r="S69" s="45" t="e">
        <f t="shared" si="23"/>
        <v>#NUM!</v>
      </c>
      <c r="T69" s="45" t="e">
        <f t="shared" si="23"/>
        <v>#NUM!</v>
      </c>
      <c r="U69" s="45" t="e">
        <f t="shared" si="23"/>
        <v>#NUM!</v>
      </c>
      <c r="V69" s="45" t="e">
        <f t="shared" si="23"/>
        <v>#NUM!</v>
      </c>
      <c r="W69" s="45" t="e">
        <f t="shared" si="23"/>
        <v>#NUM!</v>
      </c>
      <c r="X69" s="45" t="e">
        <f t="shared" si="23"/>
        <v>#NUM!</v>
      </c>
      <c r="Y69" s="21"/>
    </row>
    <row r="70" spans="2:25" ht="14.25">
      <c r="B70" s="9"/>
      <c r="C70" s="31" t="s">
        <v>150</v>
      </c>
      <c r="D70" s="31" t="s">
        <v>144</v>
      </c>
      <c r="E70" s="49">
        <f t="shared" ref="E70:X70" si="24">E60*(EXP(-E60*CriticalHeadway/3600)/(1-EXP(-E60*FollowUpTime/3600)))</f>
        <v>931.54595114581207</v>
      </c>
      <c r="F70" s="49">
        <f t="shared" si="24"/>
        <v>877.47480124665401</v>
      </c>
      <c r="G70" s="49">
        <f t="shared" si="24"/>
        <v>959.7781540483395</v>
      </c>
      <c r="H70" s="49">
        <f t="shared" si="24"/>
        <v>1049.5366912769621</v>
      </c>
      <c r="I70" s="49">
        <f t="shared" si="24"/>
        <v>826.44967175074157</v>
      </c>
      <c r="J70" s="49">
        <f t="shared" si="24"/>
        <v>1049.5366912769621</v>
      </c>
      <c r="K70" s="49">
        <f t="shared" si="24"/>
        <v>917.73318086854647</v>
      </c>
      <c r="L70" s="49">
        <f t="shared" si="24"/>
        <v>864.43959171197173</v>
      </c>
      <c r="M70" s="49" t="e">
        <f t="shared" si="24"/>
        <v>#DIV/0!</v>
      </c>
      <c r="N70" s="49" t="e">
        <f t="shared" si="24"/>
        <v>#DIV/0!</v>
      </c>
      <c r="O70" s="49" t="e">
        <f t="shared" si="24"/>
        <v>#DIV/0!</v>
      </c>
      <c r="P70" s="49" t="e">
        <f t="shared" si="24"/>
        <v>#DIV/0!</v>
      </c>
      <c r="Q70" s="49" t="e">
        <f t="shared" si="24"/>
        <v>#DIV/0!</v>
      </c>
      <c r="R70" s="49" t="e">
        <f t="shared" si="24"/>
        <v>#DIV/0!</v>
      </c>
      <c r="S70" s="49" t="e">
        <f t="shared" si="24"/>
        <v>#DIV/0!</v>
      </c>
      <c r="T70" s="49" t="e">
        <f t="shared" si="24"/>
        <v>#DIV/0!</v>
      </c>
      <c r="U70" s="49" t="e">
        <f t="shared" si="24"/>
        <v>#DIV/0!</v>
      </c>
      <c r="V70" s="49" t="e">
        <f t="shared" si="24"/>
        <v>#DIV/0!</v>
      </c>
      <c r="W70" s="49" t="e">
        <f t="shared" si="24"/>
        <v>#DIV/0!</v>
      </c>
      <c r="X70" s="49" t="e">
        <f t="shared" si="24"/>
        <v>#DIV/0!</v>
      </c>
      <c r="Y70" s="21"/>
    </row>
    <row r="71" spans="2:25" ht="14.25">
      <c r="B71" s="9"/>
      <c r="C71" s="31" t="s">
        <v>141</v>
      </c>
      <c r="D71" s="31" t="s">
        <v>145</v>
      </c>
      <c r="E71" s="36">
        <f t="shared" ref="E71:F71" si="25">(3600/E60)+(900*((E64/E60)-1+SQRT((((E64/E60)-1)^2)+((3600/E60)*(E64/E60)/450))))-3.3</f>
        <v>30.985655631231499</v>
      </c>
      <c r="F71" s="36">
        <f t="shared" si="25"/>
        <v>21.527570033805933</v>
      </c>
      <c r="G71" s="36">
        <f>(3600/G60)+(900*((G64/G60)-1+SQRT((((G64/G60)-1)^2)+((3600/G60)*(G64/G60)/450))))-3.3</f>
        <v>39.556578486780197</v>
      </c>
      <c r="H71" s="36">
        <f t="shared" ref="H71:X71" si="26">(3600/H60)+(900*((H64/H60)-1+SQRT((((H64/H60)-1)^2)+((3600/H60)*(H64/H60)/450))))-3.3</f>
        <v>146.6209657335996</v>
      </c>
      <c r="I71" s="36">
        <f t="shared" si="26"/>
        <v>16.26519254147156</v>
      </c>
      <c r="J71" s="36">
        <f t="shared" si="26"/>
        <v>146.6209657335996</v>
      </c>
      <c r="K71" s="36">
        <f t="shared" si="26"/>
        <v>28.004307027073647</v>
      </c>
      <c r="L71" s="36">
        <f t="shared" si="26"/>
        <v>19.925794059638598</v>
      </c>
      <c r="M71" s="36" t="e">
        <f t="shared" si="26"/>
        <v>#DIV/0!</v>
      </c>
      <c r="N71" s="36" t="e">
        <f t="shared" si="26"/>
        <v>#DIV/0!</v>
      </c>
      <c r="O71" s="36" t="e">
        <f t="shared" si="26"/>
        <v>#DIV/0!</v>
      </c>
      <c r="P71" s="36" t="e">
        <f t="shared" si="26"/>
        <v>#DIV/0!</v>
      </c>
      <c r="Q71" s="36" t="e">
        <f t="shared" si="26"/>
        <v>#DIV/0!</v>
      </c>
      <c r="R71" s="36" t="e">
        <f t="shared" si="26"/>
        <v>#DIV/0!</v>
      </c>
      <c r="S71" s="36" t="e">
        <f t="shared" si="26"/>
        <v>#DIV/0!</v>
      </c>
      <c r="T71" s="36" t="e">
        <f t="shared" si="26"/>
        <v>#DIV/0!</v>
      </c>
      <c r="U71" s="36" t="e">
        <f t="shared" si="26"/>
        <v>#DIV/0!</v>
      </c>
      <c r="V71" s="36" t="e">
        <f t="shared" si="26"/>
        <v>#DIV/0!</v>
      </c>
      <c r="W71" s="36" t="e">
        <f t="shared" si="26"/>
        <v>#DIV/0!</v>
      </c>
      <c r="X71" s="36" t="e">
        <f t="shared" si="26"/>
        <v>#DIV/0!</v>
      </c>
      <c r="Y71" s="21"/>
    </row>
    <row r="72" spans="2:25" ht="14.25">
      <c r="B72" s="9"/>
      <c r="C72" s="31" t="s">
        <v>147</v>
      </c>
      <c r="D72" s="31" t="s">
        <v>146</v>
      </c>
      <c r="E72" s="36">
        <f t="shared" ref="E72:X72" si="27">MIN(((E60/3600)*E55*(1-E54))/((VLOOKUP(E57,SatFlowRates,2)-E60)/3600),E54*E55)</f>
        <v>3.07044107965767</v>
      </c>
      <c r="F72" s="36">
        <f t="shared" si="27"/>
        <v>4.3434753211629484</v>
      </c>
      <c r="G72" s="36">
        <f t="shared" si="27"/>
        <v>2.4587394411955823</v>
      </c>
      <c r="H72" s="36">
        <f t="shared" si="27"/>
        <v>0.71544715447154472</v>
      </c>
      <c r="I72" s="36">
        <f t="shared" si="27"/>
        <v>5.6872828353022937</v>
      </c>
      <c r="J72" s="36">
        <f t="shared" si="27"/>
        <v>0.71544715447154472</v>
      </c>
      <c r="K72" s="36">
        <f t="shared" si="27"/>
        <v>3.3823724320742214</v>
      </c>
      <c r="L72" s="36">
        <f t="shared" si="27"/>
        <v>4.672566371681417</v>
      </c>
      <c r="M72" s="36" t="e">
        <f t="shared" si="27"/>
        <v>#N/A</v>
      </c>
      <c r="N72" s="36" t="e">
        <f t="shared" si="27"/>
        <v>#N/A</v>
      </c>
      <c r="O72" s="36" t="e">
        <f t="shared" si="27"/>
        <v>#N/A</v>
      </c>
      <c r="P72" s="36" t="e">
        <f t="shared" si="27"/>
        <v>#N/A</v>
      </c>
      <c r="Q72" s="36" t="e">
        <f t="shared" si="27"/>
        <v>#N/A</v>
      </c>
      <c r="R72" s="36" t="e">
        <f t="shared" si="27"/>
        <v>#N/A</v>
      </c>
      <c r="S72" s="36" t="e">
        <f t="shared" si="27"/>
        <v>#N/A</v>
      </c>
      <c r="T72" s="36" t="e">
        <f t="shared" si="27"/>
        <v>#N/A</v>
      </c>
      <c r="U72" s="36" t="e">
        <f t="shared" si="27"/>
        <v>#N/A</v>
      </c>
      <c r="V72" s="36" t="e">
        <f t="shared" si="27"/>
        <v>#N/A</v>
      </c>
      <c r="W72" s="36" t="e">
        <f t="shared" si="27"/>
        <v>#N/A</v>
      </c>
      <c r="X72" s="36" t="e">
        <f t="shared" si="27"/>
        <v>#N/A</v>
      </c>
      <c r="Y72" s="21"/>
    </row>
    <row r="73" spans="2:25" ht="14.25">
      <c r="B73" s="9"/>
      <c r="C73" s="31" t="s">
        <v>151</v>
      </c>
      <c r="D73" s="31" t="s">
        <v>152</v>
      </c>
      <c r="E73" s="49">
        <f t="shared" ref="E73:X73" si="28">(E60*E54)*(EXP(-E60*E54*CriticalHeadway/3600)/(1-EXP(-E60*E54*FollowUpTime/3600)))</f>
        <v>1016.1736163322878</v>
      </c>
      <c r="F73" s="49">
        <f t="shared" si="28"/>
        <v>989.28062089186142</v>
      </c>
      <c r="G73" s="49">
        <f t="shared" si="28"/>
        <v>1029.8842744796766</v>
      </c>
      <c r="H73" s="49">
        <f t="shared" si="28"/>
        <v>1072.0997238054067</v>
      </c>
      <c r="I73" s="49">
        <f t="shared" si="28"/>
        <v>963.07750147816978</v>
      </c>
      <c r="J73" s="49">
        <f t="shared" si="28"/>
        <v>1072.0997238054067</v>
      </c>
      <c r="K73" s="49">
        <f t="shared" si="28"/>
        <v>1009.3847409633564</v>
      </c>
      <c r="L73" s="49">
        <f t="shared" si="28"/>
        <v>982.66584009366534</v>
      </c>
      <c r="M73" s="49" t="e">
        <f t="shared" si="28"/>
        <v>#DIV/0!</v>
      </c>
      <c r="N73" s="49" t="e">
        <f t="shared" si="28"/>
        <v>#DIV/0!</v>
      </c>
      <c r="O73" s="49" t="e">
        <f t="shared" si="28"/>
        <v>#DIV/0!</v>
      </c>
      <c r="P73" s="49" t="e">
        <f t="shared" si="28"/>
        <v>#DIV/0!</v>
      </c>
      <c r="Q73" s="49" t="e">
        <f t="shared" si="28"/>
        <v>#DIV/0!</v>
      </c>
      <c r="R73" s="49" t="e">
        <f t="shared" si="28"/>
        <v>#DIV/0!</v>
      </c>
      <c r="S73" s="49" t="e">
        <f t="shared" si="28"/>
        <v>#DIV/0!</v>
      </c>
      <c r="T73" s="49" t="e">
        <f t="shared" si="28"/>
        <v>#DIV/0!</v>
      </c>
      <c r="U73" s="49" t="e">
        <f t="shared" si="28"/>
        <v>#DIV/0!</v>
      </c>
      <c r="V73" s="49" t="e">
        <f t="shared" si="28"/>
        <v>#DIV/0!</v>
      </c>
      <c r="W73" s="49" t="e">
        <f t="shared" si="28"/>
        <v>#DIV/0!</v>
      </c>
      <c r="X73" s="49" t="e">
        <f t="shared" si="28"/>
        <v>#DIV/0!</v>
      </c>
      <c r="Y73" s="21"/>
    </row>
    <row r="74" spans="2:25" ht="14.25">
      <c r="B74" s="9"/>
      <c r="C74" s="31" t="s">
        <v>148</v>
      </c>
      <c r="D74" s="31" t="s">
        <v>149</v>
      </c>
      <c r="E74" s="36">
        <f>(3600/E73)+(900*((E64/E73)-1+SQRT((((E64/E73)-1)^2)+((3600/E73)*(E64/E73)/450))))-3.3</f>
        <v>0.24619144470205345</v>
      </c>
      <c r="F74" s="36">
        <f t="shared" ref="F74:X74" si="29">(3600/F73)+(900*((F64/F73)-1+SQRT((((F64/F73)-1)^2)+((3600/F73)*(F64/F73)/450))))-3.3</f>
        <v>0.34269005831518617</v>
      </c>
      <c r="G74" s="36">
        <f t="shared" si="29"/>
        <v>0.20233977006306603</v>
      </c>
      <c r="H74" s="36">
        <f t="shared" si="29"/>
        <v>6.4172419126650837E-2</v>
      </c>
      <c r="I74" s="36">
        <f t="shared" si="29"/>
        <v>0.44579569502772465</v>
      </c>
      <c r="J74" s="36">
        <f t="shared" si="29"/>
        <v>6.4172419126650837E-2</v>
      </c>
      <c r="K74" s="36">
        <f t="shared" si="29"/>
        <v>0.27006591506521094</v>
      </c>
      <c r="L74" s="36">
        <f t="shared" si="29"/>
        <v>0.36723567772642074</v>
      </c>
      <c r="M74" s="36" t="e">
        <f t="shared" si="29"/>
        <v>#DIV/0!</v>
      </c>
      <c r="N74" s="36" t="e">
        <f t="shared" si="29"/>
        <v>#DIV/0!</v>
      </c>
      <c r="O74" s="36" t="e">
        <f t="shared" si="29"/>
        <v>#DIV/0!</v>
      </c>
      <c r="P74" s="36" t="e">
        <f t="shared" si="29"/>
        <v>#DIV/0!</v>
      </c>
      <c r="Q74" s="36" t="e">
        <f t="shared" si="29"/>
        <v>#DIV/0!</v>
      </c>
      <c r="R74" s="36" t="e">
        <f t="shared" si="29"/>
        <v>#DIV/0!</v>
      </c>
      <c r="S74" s="36" t="e">
        <f t="shared" si="29"/>
        <v>#DIV/0!</v>
      </c>
      <c r="T74" s="36" t="e">
        <f t="shared" si="29"/>
        <v>#DIV/0!</v>
      </c>
      <c r="U74" s="36" t="e">
        <f t="shared" si="29"/>
        <v>#DIV/0!</v>
      </c>
      <c r="V74" s="36" t="e">
        <f t="shared" si="29"/>
        <v>#DIV/0!</v>
      </c>
      <c r="W74" s="36" t="e">
        <f t="shared" si="29"/>
        <v>#DIV/0!</v>
      </c>
      <c r="X74" s="36" t="e">
        <f t="shared" si="29"/>
        <v>#DIV/0!</v>
      </c>
      <c r="Y74" s="21"/>
    </row>
    <row r="75" spans="2:25" ht="14.25">
      <c r="B75" s="9"/>
      <c r="C75" s="31" t="s">
        <v>154</v>
      </c>
      <c r="D75" s="31" t="s">
        <v>153</v>
      </c>
      <c r="E75" s="36">
        <f>MIN(E72+E74,E54*E55)</f>
        <v>3.3166325243597234</v>
      </c>
      <c r="F75" s="36">
        <f t="shared" ref="F75:X75" si="30">MIN(F72+F74,F54*F55)</f>
        <v>4.6861653794781351</v>
      </c>
      <c r="G75" s="36">
        <f t="shared" si="30"/>
        <v>2.6610792112586483</v>
      </c>
      <c r="H75" s="36">
        <f t="shared" si="30"/>
        <v>0.77961957359819556</v>
      </c>
      <c r="I75" s="36">
        <f t="shared" si="30"/>
        <v>6.1330785303300184</v>
      </c>
      <c r="J75" s="36">
        <f t="shared" si="30"/>
        <v>0.77961957359819556</v>
      </c>
      <c r="K75" s="36">
        <f t="shared" si="30"/>
        <v>3.6524383471394324</v>
      </c>
      <c r="L75" s="36">
        <f t="shared" si="30"/>
        <v>5.0398020494078377</v>
      </c>
      <c r="M75" s="36" t="e">
        <f t="shared" si="30"/>
        <v>#N/A</v>
      </c>
      <c r="N75" s="36" t="e">
        <f t="shared" si="30"/>
        <v>#N/A</v>
      </c>
      <c r="O75" s="36" t="e">
        <f t="shared" si="30"/>
        <v>#N/A</v>
      </c>
      <c r="P75" s="36" t="e">
        <f t="shared" si="30"/>
        <v>#N/A</v>
      </c>
      <c r="Q75" s="36" t="e">
        <f t="shared" si="30"/>
        <v>#N/A</v>
      </c>
      <c r="R75" s="36" t="e">
        <f t="shared" si="30"/>
        <v>#N/A</v>
      </c>
      <c r="S75" s="36" t="e">
        <f t="shared" si="30"/>
        <v>#N/A</v>
      </c>
      <c r="T75" s="36" t="e">
        <f t="shared" si="30"/>
        <v>#N/A</v>
      </c>
      <c r="U75" s="36" t="e">
        <f t="shared" si="30"/>
        <v>#N/A</v>
      </c>
      <c r="V75" s="36" t="e">
        <f t="shared" si="30"/>
        <v>#N/A</v>
      </c>
      <c r="W75" s="36" t="e">
        <f t="shared" si="30"/>
        <v>#N/A</v>
      </c>
      <c r="X75" s="36" t="e">
        <f t="shared" si="30"/>
        <v>#N/A</v>
      </c>
      <c r="Y75" s="21"/>
    </row>
    <row r="76" spans="2:25" ht="14.25">
      <c r="B76" s="9"/>
      <c r="C76" s="31" t="s">
        <v>155</v>
      </c>
      <c r="D76" s="31" t="s">
        <v>156</v>
      </c>
      <c r="E76" s="36">
        <f>(E72*E72/E55)+(E74*(E55-E72)/E55)</f>
        <v>0.35458759593175226</v>
      </c>
      <c r="F76" s="36">
        <f t="shared" ref="F76:X76" si="31">(F72*F72/F55)+(F74*(F55-F72)/F55)</f>
        <v>0.55990645899583213</v>
      </c>
      <c r="G76" s="36">
        <f t="shared" si="31"/>
        <v>0.27168850589449428</v>
      </c>
      <c r="H76" s="36">
        <f t="shared" si="31"/>
        <v>6.9996827328922234E-2</v>
      </c>
      <c r="I76" s="36">
        <f t="shared" si="31"/>
        <v>0.8184184430819903</v>
      </c>
      <c r="J76" s="36">
        <f t="shared" si="31"/>
        <v>6.9996827328922234E-2</v>
      </c>
      <c r="K76" s="36">
        <f t="shared" si="31"/>
        <v>0.40165316210641366</v>
      </c>
      <c r="L76" s="36">
        <f t="shared" si="31"/>
        <v>0.6186974704706949</v>
      </c>
      <c r="M76" s="36" t="e">
        <f t="shared" si="31"/>
        <v>#N/A</v>
      </c>
      <c r="N76" s="36" t="e">
        <f t="shared" si="31"/>
        <v>#N/A</v>
      </c>
      <c r="O76" s="36" t="e">
        <f t="shared" si="31"/>
        <v>#N/A</v>
      </c>
      <c r="P76" s="36" t="e">
        <f t="shared" si="31"/>
        <v>#N/A</v>
      </c>
      <c r="Q76" s="36" t="e">
        <f t="shared" si="31"/>
        <v>#N/A</v>
      </c>
      <c r="R76" s="36" t="e">
        <f t="shared" si="31"/>
        <v>#N/A</v>
      </c>
      <c r="S76" s="36" t="e">
        <f t="shared" si="31"/>
        <v>#N/A</v>
      </c>
      <c r="T76" s="36" t="e">
        <f t="shared" si="31"/>
        <v>#N/A</v>
      </c>
      <c r="U76" s="36" t="e">
        <f t="shared" si="31"/>
        <v>#N/A</v>
      </c>
      <c r="V76" s="36" t="e">
        <f t="shared" si="31"/>
        <v>#N/A</v>
      </c>
      <c r="W76" s="36" t="e">
        <f t="shared" si="31"/>
        <v>#N/A</v>
      </c>
      <c r="X76" s="36" t="e">
        <f t="shared" si="31"/>
        <v>#N/A</v>
      </c>
      <c r="Y76" s="21"/>
    </row>
    <row r="77" spans="2:25" ht="14.25">
      <c r="B77" s="9"/>
      <c r="C77" s="31" t="s">
        <v>159</v>
      </c>
      <c r="D77" s="31" t="s">
        <v>160</v>
      </c>
      <c r="E77" s="36">
        <f>E76-((E59*(E76-E71))/1320)</f>
        <v>0.35458759593175226</v>
      </c>
      <c r="F77" s="36">
        <f t="shared" ref="F77:X77" si="32">F76-((F59*(F76-F71))/1320)</f>
        <v>0.55990645899583213</v>
      </c>
      <c r="G77" s="36">
        <f t="shared" si="32"/>
        <v>0.27168850589449428</v>
      </c>
      <c r="H77" s="36">
        <f t="shared" si="32"/>
        <v>6.9996827328922234E-2</v>
      </c>
      <c r="I77" s="36">
        <f t="shared" si="32"/>
        <v>0.8184184430819903</v>
      </c>
      <c r="J77" s="36">
        <f t="shared" si="32"/>
        <v>6.9996827328922234E-2</v>
      </c>
      <c r="K77" s="36">
        <f t="shared" si="32"/>
        <v>0.40165316210641366</v>
      </c>
      <c r="L77" s="36">
        <f t="shared" si="32"/>
        <v>0.6186974704706949</v>
      </c>
      <c r="M77" s="36" t="e">
        <f t="shared" si="32"/>
        <v>#N/A</v>
      </c>
      <c r="N77" s="36" t="e">
        <f t="shared" si="32"/>
        <v>#N/A</v>
      </c>
      <c r="O77" s="36" t="e">
        <f t="shared" si="32"/>
        <v>#N/A</v>
      </c>
      <c r="P77" s="36" t="e">
        <f t="shared" si="32"/>
        <v>#N/A</v>
      </c>
      <c r="Q77" s="36" t="e">
        <f t="shared" si="32"/>
        <v>#N/A</v>
      </c>
      <c r="R77" s="36" t="e">
        <f t="shared" si="32"/>
        <v>#N/A</v>
      </c>
      <c r="S77" s="36" t="e">
        <f t="shared" si="32"/>
        <v>#N/A</v>
      </c>
      <c r="T77" s="36" t="e">
        <f t="shared" si="32"/>
        <v>#N/A</v>
      </c>
      <c r="U77" s="36" t="e">
        <f t="shared" si="32"/>
        <v>#N/A</v>
      </c>
      <c r="V77" s="36" t="e">
        <f t="shared" si="32"/>
        <v>#N/A</v>
      </c>
      <c r="W77" s="36" t="e">
        <f t="shared" si="32"/>
        <v>#N/A</v>
      </c>
      <c r="X77" s="36" t="e">
        <f t="shared" si="32"/>
        <v>#N/A</v>
      </c>
      <c r="Y77" s="21"/>
    </row>
    <row r="78" spans="2:25" ht="14.25">
      <c r="B78" s="9"/>
      <c r="C78" s="31" t="s">
        <v>19</v>
      </c>
      <c r="D78" s="31" t="s">
        <v>129</v>
      </c>
      <c r="E78" s="36">
        <f t="shared" ref="E78:X78" si="33">IF(E56="On-line",StartUpTime,StartUpTime+IF(E58="No influence",E71,IF(E58="Influenced",E77,IF(E58="Far-side",E76,E75))))</f>
        <v>10</v>
      </c>
      <c r="F78" s="36">
        <f t="shared" si="33"/>
        <v>10</v>
      </c>
      <c r="G78" s="36">
        <f t="shared" si="33"/>
        <v>10</v>
      </c>
      <c r="H78" s="36">
        <f t="shared" si="33"/>
        <v>10</v>
      </c>
      <c r="I78" s="36">
        <f t="shared" si="33"/>
        <v>10</v>
      </c>
      <c r="J78" s="36">
        <f t="shared" si="33"/>
        <v>10</v>
      </c>
      <c r="K78" s="36">
        <f t="shared" si="33"/>
        <v>10</v>
      </c>
      <c r="L78" s="36">
        <f t="shared" si="33"/>
        <v>10</v>
      </c>
      <c r="M78" s="36" t="e">
        <f t="shared" si="33"/>
        <v>#N/A</v>
      </c>
      <c r="N78" s="36" t="e">
        <f t="shared" si="33"/>
        <v>#N/A</v>
      </c>
      <c r="O78" s="36" t="e">
        <f t="shared" si="33"/>
        <v>#N/A</v>
      </c>
      <c r="P78" s="36" t="e">
        <f t="shared" si="33"/>
        <v>#N/A</v>
      </c>
      <c r="Q78" s="36" t="e">
        <f t="shared" si="33"/>
        <v>#N/A</v>
      </c>
      <c r="R78" s="36" t="e">
        <f t="shared" si="33"/>
        <v>#N/A</v>
      </c>
      <c r="S78" s="36" t="e">
        <f t="shared" si="33"/>
        <v>#N/A</v>
      </c>
      <c r="T78" s="36" t="e">
        <f t="shared" si="33"/>
        <v>#N/A</v>
      </c>
      <c r="U78" s="36" t="e">
        <f t="shared" si="33"/>
        <v>#N/A</v>
      </c>
      <c r="V78" s="36" t="e">
        <f t="shared" si="33"/>
        <v>#N/A</v>
      </c>
      <c r="W78" s="36" t="e">
        <f t="shared" si="33"/>
        <v>#N/A</v>
      </c>
      <c r="X78" s="36" t="e">
        <f t="shared" si="33"/>
        <v>#N/A</v>
      </c>
      <c r="Y78" s="21"/>
    </row>
    <row r="79" spans="2:25" ht="14.25">
      <c r="B79" s="9"/>
      <c r="C79" s="31" t="s">
        <v>20</v>
      </c>
      <c r="D79" s="31" t="s">
        <v>161</v>
      </c>
      <c r="E79" s="36">
        <f>E69*E51*E53</f>
        <v>9.9497605391403816</v>
      </c>
      <c r="F79" s="36">
        <f t="shared" ref="F79:X79" si="34">F69*F51*F53</f>
        <v>14.924640808710572</v>
      </c>
      <c r="G79" s="36">
        <f t="shared" si="34"/>
        <v>27.361841482636049</v>
      </c>
      <c r="H79" s="36">
        <f t="shared" si="34"/>
        <v>32.336721752206238</v>
      </c>
      <c r="I79" s="36">
        <f t="shared" si="34"/>
        <v>24.874401347850956</v>
      </c>
      <c r="J79" s="36">
        <f t="shared" si="34"/>
        <v>37.31160202177643</v>
      </c>
      <c r="K79" s="36">
        <f t="shared" si="34"/>
        <v>14.924640808710572</v>
      </c>
      <c r="L79" s="36">
        <f t="shared" si="34"/>
        <v>12.437200673925478</v>
      </c>
      <c r="M79" s="36" t="e">
        <f t="shared" si="34"/>
        <v>#NUM!</v>
      </c>
      <c r="N79" s="36" t="e">
        <f t="shared" si="34"/>
        <v>#NUM!</v>
      </c>
      <c r="O79" s="36" t="e">
        <f t="shared" si="34"/>
        <v>#NUM!</v>
      </c>
      <c r="P79" s="36" t="e">
        <f t="shared" si="34"/>
        <v>#NUM!</v>
      </c>
      <c r="Q79" s="36" t="e">
        <f t="shared" si="34"/>
        <v>#NUM!</v>
      </c>
      <c r="R79" s="36" t="e">
        <f t="shared" si="34"/>
        <v>#NUM!</v>
      </c>
      <c r="S79" s="36" t="e">
        <f t="shared" si="34"/>
        <v>#NUM!</v>
      </c>
      <c r="T79" s="36" t="e">
        <f t="shared" si="34"/>
        <v>#NUM!</v>
      </c>
      <c r="U79" s="36" t="e">
        <f t="shared" si="34"/>
        <v>#NUM!</v>
      </c>
      <c r="V79" s="36" t="e">
        <f t="shared" si="34"/>
        <v>#NUM!</v>
      </c>
      <c r="W79" s="36" t="e">
        <f t="shared" si="34"/>
        <v>#NUM!</v>
      </c>
      <c r="X79" s="36" t="e">
        <f t="shared" si="34"/>
        <v>#NUM!</v>
      </c>
      <c r="Y79" s="21"/>
    </row>
    <row r="80" spans="2:25" ht="14.25" customHeight="1">
      <c r="B80" s="9"/>
      <c r="C80" s="31" t="s">
        <v>22</v>
      </c>
      <c r="D80" s="31" t="s">
        <v>162</v>
      </c>
      <c r="E80" s="49">
        <f>3600*E54/(E78+E53*(E54)+E79)</f>
        <v>59.669034563473637</v>
      </c>
      <c r="F80" s="49">
        <f t="shared" ref="F80:X80" si="35">3600*F54/(F78+F53*(F54)+F79)</f>
        <v>45.346852013834742</v>
      </c>
      <c r="G80" s="49">
        <f t="shared" si="35"/>
        <v>28.340584522493113</v>
      </c>
      <c r="H80" s="49">
        <f t="shared" si="35"/>
        <v>24.643760090540713</v>
      </c>
      <c r="I80" s="49">
        <f t="shared" si="35"/>
        <v>30.638644763887125</v>
      </c>
      <c r="J80" s="49">
        <f t="shared" si="35"/>
        <v>21.800095219657248</v>
      </c>
      <c r="K80" s="49">
        <f t="shared" si="35"/>
        <v>45.346852013834742</v>
      </c>
      <c r="L80" s="49">
        <f t="shared" si="35"/>
        <v>51.531305754702714</v>
      </c>
      <c r="M80" s="49" t="e">
        <f t="shared" si="35"/>
        <v>#N/A</v>
      </c>
      <c r="N80" s="49" t="e">
        <f t="shared" si="35"/>
        <v>#N/A</v>
      </c>
      <c r="O80" s="49" t="e">
        <f t="shared" si="35"/>
        <v>#N/A</v>
      </c>
      <c r="P80" s="49" t="e">
        <f t="shared" si="35"/>
        <v>#N/A</v>
      </c>
      <c r="Q80" s="49" t="e">
        <f t="shared" si="35"/>
        <v>#N/A</v>
      </c>
      <c r="R80" s="49" t="e">
        <f t="shared" si="35"/>
        <v>#N/A</v>
      </c>
      <c r="S80" s="49" t="e">
        <f t="shared" si="35"/>
        <v>#N/A</v>
      </c>
      <c r="T80" s="49" t="e">
        <f t="shared" si="35"/>
        <v>#N/A</v>
      </c>
      <c r="U80" s="49" t="e">
        <f t="shared" si="35"/>
        <v>#N/A</v>
      </c>
      <c r="V80" s="49" t="e">
        <f t="shared" si="35"/>
        <v>#N/A</v>
      </c>
      <c r="W80" s="49" t="e">
        <f t="shared" si="35"/>
        <v>#N/A</v>
      </c>
      <c r="X80" s="49" t="e">
        <f t="shared" si="35"/>
        <v>#N/A</v>
      </c>
      <c r="Y80" s="21"/>
    </row>
    <row r="81" spans="2:25" ht="14.25">
      <c r="B81" s="9"/>
      <c r="C81" s="31" t="s">
        <v>49</v>
      </c>
      <c r="D81" s="31" t="s">
        <v>21</v>
      </c>
      <c r="E81" s="35">
        <f>IF(E65="Non-linear",'Step 1 - Capacity'!E64,IF('Step 1 - Capacity'!E56="Off-line",VLOOKUP('Step 1 - Capacity'!E$20,Lookup!$K$4:$L$8,2,0),IF(E63="Random",VLOOKUP(E$20,Lookup!$G$4:$H$8,2,0),VLOOKUP('Step 1 - Capacity'!E64,Lookup!$I$4:$J$8,2,0))))</f>
        <v>1</v>
      </c>
      <c r="F81" s="35">
        <f>IF(F65="Non-linear",'Step 1 - Capacity'!F64,IF('Step 1 - Capacity'!F56="Off-line",VLOOKUP('Step 1 - Capacity'!F$20,Lookup!$K$4:$L$8,2,0),IF(F63="Random",VLOOKUP(F$20,Lookup!$G$4:$H$8,2,0),VLOOKUP('Step 1 - Capacity'!F64,Lookup!$I$4:$J$8,2,0))))</f>
        <v>1</v>
      </c>
      <c r="G81" s="35">
        <f>IF(G65="Non-linear",'Step 1 - Capacity'!G64,IF('Step 1 - Capacity'!G56="Off-line",VLOOKUP('Step 1 - Capacity'!G$20,Lookup!$K$4:$L$8,2,0),IF(G63="Random",VLOOKUP(G$20,Lookup!$G$4:$H$8,2,0),VLOOKUP('Step 1 - Capacity'!G64,Lookup!$I$4:$J$8,2,0))))</f>
        <v>1.75</v>
      </c>
      <c r="H81" s="35">
        <f>IF(H65="Non-linear",'Step 1 - Capacity'!H64,IF('Step 1 - Capacity'!H56="Off-line",VLOOKUP('Step 1 - Capacity'!H$20,Lookup!$K$4:$L$8,2,0),IF(H63="Random",VLOOKUP(H$20,Lookup!$G$4:$H$8,2,0),VLOOKUP('Step 1 - Capacity'!H64,Lookup!$I$4:$J$8,2,0))))</f>
        <v>1.75</v>
      </c>
      <c r="I81" s="35">
        <f>IF(I65="Non-linear",'Step 1 - Capacity'!I64,IF('Step 1 - Capacity'!I56="Off-line",VLOOKUP('Step 1 - Capacity'!I$20,Lookup!$K$4:$L$8,2,0),IF(I63="Random",VLOOKUP(I$20,Lookup!$G$4:$H$8,2,0),VLOOKUP('Step 1 - Capacity'!I64,Lookup!$I$4:$J$8,2,0))))</f>
        <v>1.75</v>
      </c>
      <c r="J81" s="35">
        <f>IF(J65="Non-linear",'Step 1 - Capacity'!J64,IF('Step 1 - Capacity'!J56="Off-line",VLOOKUP('Step 1 - Capacity'!J$20,Lookup!$K$4:$L$8,2,0),IF(J63="Random",VLOOKUP(J$20,Lookup!$G$4:$H$8,2,0),VLOOKUP('Step 1 - Capacity'!J64,Lookup!$I$4:$J$8,2,0))))</f>
        <v>1.75</v>
      </c>
      <c r="K81" s="35">
        <f>IF(K65="Non-linear",'Step 1 - Capacity'!K64,IF('Step 1 - Capacity'!K56="Off-line",VLOOKUP('Step 1 - Capacity'!K$20,Lookup!$K$4:$L$8,2,0),IF(K63="Random",VLOOKUP(K$20,Lookup!$G$4:$H$8,2,0),VLOOKUP('Step 1 - Capacity'!K64,Lookup!$I$4:$J$8,2,0))))</f>
        <v>1</v>
      </c>
      <c r="L81" s="35">
        <f>IF(L65="Non-linear",'Step 1 - Capacity'!L64,IF('Step 1 - Capacity'!L56="Off-line",VLOOKUP('Step 1 - Capacity'!L$20,Lookup!$K$4:$L$8,2,0),IF(L63="Random",VLOOKUP(L$20,Lookup!$G$4:$H$8,2,0),VLOOKUP('Step 1 - Capacity'!L64,Lookup!$I$4:$J$8,2,0))))</f>
        <v>1</v>
      </c>
      <c r="M81" s="35" t="e">
        <f>IF(M65="Non-linear",'Step 1 - Capacity'!M64,IF('Step 1 - Capacity'!M56="Off-line",VLOOKUP('Step 1 - Capacity'!M$20,Lookup!$K$4:$L$8,2,0),IF(M63="Random",VLOOKUP(M$20,Lookup!$G$4:$H$8,2,0),VLOOKUP('Step 1 - Capacity'!M64,Lookup!$I$4:$J$8,2,0))))</f>
        <v>#N/A</v>
      </c>
      <c r="N81" s="35" t="e">
        <f>IF(N65="Non-linear",'Step 1 - Capacity'!N64,IF('Step 1 - Capacity'!N56="Off-line",VLOOKUP('Step 1 - Capacity'!N$20,Lookup!$K$4:$L$8,2,0),IF(N63="Random",VLOOKUP(N$20,Lookup!$G$4:$H$8,2,0),VLOOKUP('Step 1 - Capacity'!N64,Lookup!$I$4:$J$8,2,0))))</f>
        <v>#N/A</v>
      </c>
      <c r="O81" s="35" t="e">
        <f>IF(O65="Non-linear",'Step 1 - Capacity'!O64,IF('Step 1 - Capacity'!O56="Off-line",VLOOKUP('Step 1 - Capacity'!O$20,Lookup!$K$4:$L$8,2,0),IF(O63="Random",VLOOKUP(O$20,Lookup!$G$4:$H$8,2,0),VLOOKUP('Step 1 - Capacity'!O64,Lookup!$I$4:$J$8,2,0))))</f>
        <v>#N/A</v>
      </c>
      <c r="P81" s="35" t="e">
        <f>IF(P65="Non-linear",'Step 1 - Capacity'!P64,IF('Step 1 - Capacity'!P56="Off-line",VLOOKUP('Step 1 - Capacity'!P$20,Lookup!$K$4:$L$8,2,0),IF(P63="Random",VLOOKUP(P$20,Lookup!$G$4:$H$8,2,0),VLOOKUP('Step 1 - Capacity'!P64,Lookup!$I$4:$J$8,2,0))))</f>
        <v>#N/A</v>
      </c>
      <c r="Q81" s="35" t="e">
        <f>IF(Q65="Non-linear",'Step 1 - Capacity'!Q64,IF('Step 1 - Capacity'!Q56="Off-line",VLOOKUP('Step 1 - Capacity'!Q$20,Lookup!$K$4:$L$8,2,0),IF(Q63="Random",VLOOKUP(Q$20,Lookup!$G$4:$H$8,2,0),VLOOKUP('Step 1 - Capacity'!Q64,Lookup!$I$4:$J$8,2,0))))</f>
        <v>#N/A</v>
      </c>
      <c r="R81" s="35" t="e">
        <f>IF(R65="Non-linear",'Step 1 - Capacity'!R64,IF('Step 1 - Capacity'!R56="Off-line",VLOOKUP('Step 1 - Capacity'!R$20,Lookup!$K$4:$L$8,2,0),IF(R63="Random",VLOOKUP(R$20,Lookup!$G$4:$H$8,2,0),VLOOKUP('Step 1 - Capacity'!R64,Lookup!$I$4:$J$8,2,0))))</f>
        <v>#N/A</v>
      </c>
      <c r="S81" s="35" t="e">
        <f>IF(S65="Non-linear",'Step 1 - Capacity'!S64,IF('Step 1 - Capacity'!S56="Off-line",VLOOKUP('Step 1 - Capacity'!S$20,Lookup!$K$4:$L$8,2,0),IF(S63="Random",VLOOKUP(S$20,Lookup!$G$4:$H$8,2,0),VLOOKUP('Step 1 - Capacity'!S64,Lookup!$I$4:$J$8,2,0))))</f>
        <v>#N/A</v>
      </c>
      <c r="T81" s="35" t="e">
        <f>IF(T65="Non-linear",'Step 1 - Capacity'!T64,IF('Step 1 - Capacity'!T56="Off-line",VLOOKUP('Step 1 - Capacity'!T$20,Lookup!$K$4:$L$8,2,0),IF(T63="Random",VLOOKUP(T$20,Lookup!$G$4:$H$8,2,0),VLOOKUP('Step 1 - Capacity'!T64,Lookup!$I$4:$J$8,2,0))))</f>
        <v>#N/A</v>
      </c>
      <c r="U81" s="35" t="e">
        <f>IF(U65="Non-linear",'Step 1 - Capacity'!U64,IF('Step 1 - Capacity'!U56="Off-line",VLOOKUP('Step 1 - Capacity'!U$20,Lookup!$K$4:$L$8,2,0),IF(U63="Random",VLOOKUP(U$20,Lookup!$G$4:$H$8,2,0),VLOOKUP('Step 1 - Capacity'!U64,Lookup!$I$4:$J$8,2,0))))</f>
        <v>#N/A</v>
      </c>
      <c r="V81" s="35" t="e">
        <f>IF(V65="Non-linear",'Step 1 - Capacity'!V64,IF('Step 1 - Capacity'!V56="Off-line",VLOOKUP('Step 1 - Capacity'!V$20,Lookup!$K$4:$L$8,2,0),IF(V63="Random",VLOOKUP(V$20,Lookup!$G$4:$H$8,2,0),VLOOKUP('Step 1 - Capacity'!V64,Lookup!$I$4:$J$8,2,0))))</f>
        <v>#N/A</v>
      </c>
      <c r="W81" s="35" t="e">
        <f>IF(W65="Non-linear",'Step 1 - Capacity'!W64,IF('Step 1 - Capacity'!W56="Off-line",VLOOKUP('Step 1 - Capacity'!W$20,Lookup!$K$4:$L$8,2,0),IF(W63="Random",VLOOKUP(W$20,Lookup!$G$4:$H$8,2,0),VLOOKUP('Step 1 - Capacity'!W64,Lookup!$I$4:$J$8,2,0))))</f>
        <v>#N/A</v>
      </c>
      <c r="X81" s="35" t="e">
        <f>IF(X65="Non-linear",'Step 1 - Capacity'!X64,IF('Step 1 - Capacity'!X56="Off-line",VLOOKUP('Step 1 - Capacity'!X$20,Lookup!$K$4:$L$8,2,0),IF(X63="Random",VLOOKUP(X$20,Lookup!$G$4:$H$8,2,0),VLOOKUP('Step 1 - Capacity'!X64,Lookup!$I$4:$J$8,2,0))))</f>
        <v>#N/A</v>
      </c>
      <c r="Y81" s="21"/>
    </row>
    <row r="82" spans="2:25" ht="14.25">
      <c r="B82" s="9"/>
      <c r="C82" s="31" t="s">
        <v>33</v>
      </c>
      <c r="D82" s="31" t="s">
        <v>30</v>
      </c>
      <c r="E82" s="35">
        <f t="shared" ref="E82:X82" si="36">VLOOKUP(E58,BusStopLocationFactors,E66+1)</f>
        <v>0.5</v>
      </c>
      <c r="F82" s="35">
        <f t="shared" si="36"/>
        <v>0.5</v>
      </c>
      <c r="G82" s="35">
        <f t="shared" si="36"/>
        <v>0.5</v>
      </c>
      <c r="H82" s="35">
        <f t="shared" si="36"/>
        <v>0.5</v>
      </c>
      <c r="I82" s="35">
        <f t="shared" si="36"/>
        <v>0.5</v>
      </c>
      <c r="J82" s="35">
        <f t="shared" si="36"/>
        <v>0.5</v>
      </c>
      <c r="K82" s="35">
        <f t="shared" si="36"/>
        <v>0.5</v>
      </c>
      <c r="L82" s="35">
        <f t="shared" si="36"/>
        <v>0.5</v>
      </c>
      <c r="M82" s="35" t="e">
        <f t="shared" si="36"/>
        <v>#N/A</v>
      </c>
      <c r="N82" s="35" t="e">
        <f t="shared" si="36"/>
        <v>#N/A</v>
      </c>
      <c r="O82" s="35" t="e">
        <f t="shared" si="36"/>
        <v>#N/A</v>
      </c>
      <c r="P82" s="35" t="e">
        <f t="shared" si="36"/>
        <v>#N/A</v>
      </c>
      <c r="Q82" s="35" t="e">
        <f t="shared" si="36"/>
        <v>#N/A</v>
      </c>
      <c r="R82" s="35" t="e">
        <f t="shared" si="36"/>
        <v>#N/A</v>
      </c>
      <c r="S82" s="35" t="e">
        <f t="shared" si="36"/>
        <v>#N/A</v>
      </c>
      <c r="T82" s="35" t="e">
        <f t="shared" si="36"/>
        <v>#N/A</v>
      </c>
      <c r="U82" s="35" t="e">
        <f t="shared" si="36"/>
        <v>#N/A</v>
      </c>
      <c r="V82" s="35" t="e">
        <f t="shared" si="36"/>
        <v>#N/A</v>
      </c>
      <c r="W82" s="35" t="e">
        <f t="shared" si="36"/>
        <v>#N/A</v>
      </c>
      <c r="X82" s="35" t="e">
        <f t="shared" si="36"/>
        <v>#N/A</v>
      </c>
      <c r="Y82" s="21"/>
    </row>
    <row r="83" spans="2:25" ht="14.25">
      <c r="B83" s="9"/>
      <c r="C83" s="31" t="s">
        <v>170</v>
      </c>
      <c r="D83" s="31" t="s">
        <v>174</v>
      </c>
      <c r="E83" s="49">
        <f t="shared" ref="E83:X83" si="37">IF(E57="","",VLOOKUP(E57,SatFlowRates,2)*E54)</f>
        <v>731.25</v>
      </c>
      <c r="F83" s="49">
        <f t="shared" si="37"/>
        <v>731.25</v>
      </c>
      <c r="G83" s="49">
        <f t="shared" si="37"/>
        <v>731.25</v>
      </c>
      <c r="H83" s="49">
        <f t="shared" si="37"/>
        <v>731.25</v>
      </c>
      <c r="I83" s="49">
        <f t="shared" si="37"/>
        <v>731.25</v>
      </c>
      <c r="J83" s="49">
        <f t="shared" si="37"/>
        <v>731.25</v>
      </c>
      <c r="K83" s="49">
        <f t="shared" si="37"/>
        <v>731.25</v>
      </c>
      <c r="L83" s="49">
        <f t="shared" si="37"/>
        <v>731.25</v>
      </c>
      <c r="M83" s="49" t="str">
        <f t="shared" si="37"/>
        <v/>
      </c>
      <c r="N83" s="49" t="str">
        <f t="shared" si="37"/>
        <v/>
      </c>
      <c r="O83" s="49" t="str">
        <f t="shared" si="37"/>
        <v/>
      </c>
      <c r="P83" s="49" t="str">
        <f t="shared" si="37"/>
        <v/>
      </c>
      <c r="Q83" s="49" t="str">
        <f t="shared" si="37"/>
        <v/>
      </c>
      <c r="R83" s="49" t="str">
        <f t="shared" si="37"/>
        <v/>
      </c>
      <c r="S83" s="49" t="str">
        <f t="shared" si="37"/>
        <v/>
      </c>
      <c r="T83" s="49" t="str">
        <f t="shared" si="37"/>
        <v/>
      </c>
      <c r="U83" s="49" t="str">
        <f t="shared" si="37"/>
        <v/>
      </c>
      <c r="V83" s="49" t="str">
        <f t="shared" si="37"/>
        <v/>
      </c>
      <c r="W83" s="49" t="str">
        <f t="shared" si="37"/>
        <v/>
      </c>
      <c r="X83" s="49" t="str">
        <f t="shared" si="37"/>
        <v/>
      </c>
      <c r="Y83" s="21"/>
    </row>
    <row r="84" spans="2:25" ht="14.25">
      <c r="B84" s="9"/>
      <c r="C84" s="31" t="s">
        <v>175</v>
      </c>
      <c r="D84" s="31" t="s">
        <v>176</v>
      </c>
      <c r="E84" s="49">
        <f>1450*E54*(1-(E62/2000))*(IF(OR(E57="Metro CBD",E57="Other CBD"),1,1.1))</f>
        <v>616.61249999999995</v>
      </c>
      <c r="F84" s="49">
        <f t="shared" ref="F84:X84" si="38">1450*F54*(1-(F62/2000))*(IF(OR(F57="Metro CBD",F57="Other CBD"),1,1.1))</f>
        <v>606.82499999999993</v>
      </c>
      <c r="G84" s="49">
        <f t="shared" si="38"/>
        <v>626.4</v>
      </c>
      <c r="H84" s="49">
        <f t="shared" si="38"/>
        <v>554.625</v>
      </c>
      <c r="I84" s="49">
        <f t="shared" si="38"/>
        <v>541.57499999999993</v>
      </c>
      <c r="J84" s="49">
        <f t="shared" si="38"/>
        <v>597.03750000000002</v>
      </c>
      <c r="K84" s="49">
        <f t="shared" si="38"/>
        <v>610.08750000000009</v>
      </c>
      <c r="L84" s="49">
        <f t="shared" si="38"/>
        <v>606.82499999999993</v>
      </c>
      <c r="M84" s="49">
        <f t="shared" si="38"/>
        <v>0</v>
      </c>
      <c r="N84" s="49">
        <f t="shared" si="38"/>
        <v>0</v>
      </c>
      <c r="O84" s="49">
        <f t="shared" si="38"/>
        <v>0</v>
      </c>
      <c r="P84" s="49">
        <f t="shared" si="38"/>
        <v>0</v>
      </c>
      <c r="Q84" s="49">
        <f t="shared" si="38"/>
        <v>0</v>
      </c>
      <c r="R84" s="49">
        <f t="shared" si="38"/>
        <v>0</v>
      </c>
      <c r="S84" s="49">
        <f t="shared" si="38"/>
        <v>0</v>
      </c>
      <c r="T84" s="49">
        <f t="shared" si="38"/>
        <v>0</v>
      </c>
      <c r="U84" s="49">
        <f t="shared" si="38"/>
        <v>0</v>
      </c>
      <c r="V84" s="49">
        <f t="shared" si="38"/>
        <v>0</v>
      </c>
      <c r="W84" s="49">
        <f t="shared" si="38"/>
        <v>0</v>
      </c>
      <c r="X84" s="49">
        <f t="shared" si="38"/>
        <v>0</v>
      </c>
      <c r="Y84" s="21"/>
    </row>
    <row r="85" spans="2:25" ht="14.25">
      <c r="B85" s="9"/>
      <c r="C85" s="31" t="s">
        <v>179</v>
      </c>
      <c r="D85" s="31" t="s">
        <v>180</v>
      </c>
      <c r="E85" s="49">
        <f t="shared" ref="E85" si="39">(E83*(E60-E61)/E60)+(E84*E61/E60)</f>
        <v>644.73113207547169</v>
      </c>
      <c r="F85" s="49">
        <f t="shared" ref="F85" si="40">(F83*(F60-F61)/F60)+(F84*F61/F60)</f>
        <v>628.98287671232868</v>
      </c>
      <c r="G85" s="49">
        <f t="shared" ref="G85" si="41">(G83*(G60-G61)/G60)+(G84*G61/G60)</f>
        <v>658.09883720930236</v>
      </c>
      <c r="H85" s="49">
        <f t="shared" ref="H85" si="42">(H83*(H60-H61)/H60)+(H84*H61/H60)</f>
        <v>731.25</v>
      </c>
      <c r="I85" s="49">
        <f t="shared" ref="I85" si="43">(I83*(I60-I61)/I60)+(I84*I61/I60)</f>
        <v>568.08870967741927</v>
      </c>
      <c r="J85" s="49">
        <f t="shared" ref="J85" si="44">(J83*(J60-J61)/J60)+(J84*J61/J60)</f>
        <v>731.25</v>
      </c>
      <c r="K85" s="49">
        <f t="shared" ref="K85" si="45">(K83*(K60-K61)/K60)+(K84*K61/K60)</f>
        <v>637.24461206896558</v>
      </c>
      <c r="L85" s="49">
        <f t="shared" ref="L85" si="46">(L83*(L60-L61)/L60)+(L84*L61/L60)</f>
        <v>627.56249999999989</v>
      </c>
      <c r="M85" s="49" t="e">
        <f t="shared" ref="M85" si="47">(M83*(M60-M61)/M60)+(M84*M61/M60)</f>
        <v>#VALUE!</v>
      </c>
      <c r="N85" s="49" t="e">
        <f t="shared" ref="N85" si="48">(N83*(N60-N61)/N60)+(N84*N61/N60)</f>
        <v>#VALUE!</v>
      </c>
      <c r="O85" s="49" t="e">
        <f t="shared" ref="O85" si="49">(O83*(O60-O61)/O60)+(O84*O61/O60)</f>
        <v>#VALUE!</v>
      </c>
      <c r="P85" s="49" t="e">
        <f t="shared" ref="P85" si="50">(P83*(P60-P61)/P60)+(P84*P61/P60)</f>
        <v>#VALUE!</v>
      </c>
      <c r="Q85" s="49" t="e">
        <f t="shared" ref="Q85" si="51">(Q83*(Q60-Q61)/Q60)+(Q84*Q61/Q60)</f>
        <v>#VALUE!</v>
      </c>
      <c r="R85" s="49" t="e">
        <f t="shared" ref="R85" si="52">(R83*(R60-R61)/R60)+(R84*R61/R60)</f>
        <v>#VALUE!</v>
      </c>
      <c r="S85" s="49" t="e">
        <f t="shared" ref="S85" si="53">(S83*(S60-S61)/S60)+(S84*S61/S60)</f>
        <v>#VALUE!</v>
      </c>
      <c r="T85" s="49" t="e">
        <f t="shared" ref="T85" si="54">(T83*(T60-T61)/T60)+(T84*T61/T60)</f>
        <v>#VALUE!</v>
      </c>
      <c r="U85" s="49" t="e">
        <f t="shared" ref="U85" si="55">(U83*(U60-U61)/U60)+(U84*U61/U60)</f>
        <v>#VALUE!</v>
      </c>
      <c r="V85" s="49" t="e">
        <f t="shared" ref="V85" si="56">(V83*(V60-V61)/V60)+(V84*V61/V60)</f>
        <v>#VALUE!</v>
      </c>
      <c r="W85" s="49" t="e">
        <f t="shared" ref="W85" si="57">(W83*(W60-W61)/W60)+(W84*W61/W60)</f>
        <v>#VALUE!</v>
      </c>
      <c r="X85" s="49" t="e">
        <f t="shared" ref="X85" si="58">(X83*(X60-X61)/X60)+(X84*X61/X60)</f>
        <v>#VALUE!</v>
      </c>
      <c r="Y85" s="21"/>
    </row>
    <row r="86" spans="2:25" ht="14.25">
      <c r="B86" s="9"/>
      <c r="C86" s="31" t="s">
        <v>181</v>
      </c>
      <c r="D86" s="31" t="s">
        <v>182</v>
      </c>
      <c r="E86" s="45">
        <f t="shared" ref="E86" si="59">1-(E82*E60/E85)</f>
        <v>0.91779519033091161</v>
      </c>
      <c r="F86" s="45">
        <f t="shared" ref="F86" si="60">1-(F82*F60/F85)</f>
        <v>0.88393960677980865</v>
      </c>
      <c r="G86" s="45">
        <f t="shared" ref="G86" si="61">1-(G82*G60/G85)</f>
        <v>0.93466027051142742</v>
      </c>
      <c r="H86" s="45">
        <f t="shared" ref="H86" si="62">1-(H82*H60/H85)</f>
        <v>0.98222222222222222</v>
      </c>
      <c r="I86" s="45">
        <f t="shared" ref="I86" si="63">1-(I82*I60/I85)</f>
        <v>0.83629317320386698</v>
      </c>
      <c r="J86" s="45">
        <f t="shared" ref="J86" si="64">1-(J82*J60/J85)</f>
        <v>0.98222222222222222</v>
      </c>
      <c r="K86" s="45">
        <f t="shared" ref="K86" si="65">1-(K82*K60/K85)</f>
        <v>0.90898314571591388</v>
      </c>
      <c r="L86" s="45">
        <f t="shared" ref="L86" si="66">1-(L82*L60/L85)</f>
        <v>0.8757095906782193</v>
      </c>
      <c r="M86" s="45" t="e">
        <f t="shared" ref="M86" si="67">1-(M82*M60/M85)</f>
        <v>#N/A</v>
      </c>
      <c r="N86" s="45" t="e">
        <f t="shared" ref="N86" si="68">1-(N82*N60/N85)</f>
        <v>#N/A</v>
      </c>
      <c r="O86" s="45" t="e">
        <f t="shared" ref="O86" si="69">1-(O82*O60/O85)</f>
        <v>#N/A</v>
      </c>
      <c r="P86" s="45" t="e">
        <f t="shared" ref="P86" si="70">1-(P82*P60/P85)</f>
        <v>#N/A</v>
      </c>
      <c r="Q86" s="45" t="e">
        <f t="shared" ref="Q86" si="71">1-(Q82*Q60/Q85)</f>
        <v>#N/A</v>
      </c>
      <c r="R86" s="45" t="e">
        <f t="shared" ref="R86" si="72">1-(R82*R60/R85)</f>
        <v>#N/A</v>
      </c>
      <c r="S86" s="45" t="e">
        <f t="shared" ref="S86" si="73">1-(S82*S60/S85)</f>
        <v>#N/A</v>
      </c>
      <c r="T86" s="45" t="e">
        <f t="shared" ref="T86" si="74">1-(T82*T60/T85)</f>
        <v>#N/A</v>
      </c>
      <c r="U86" s="45" t="e">
        <f t="shared" ref="U86" si="75">1-(U82*U60/U85)</f>
        <v>#N/A</v>
      </c>
      <c r="V86" s="45" t="e">
        <f t="shared" ref="V86" si="76">1-(V82*V60/V85)</f>
        <v>#N/A</v>
      </c>
      <c r="W86" s="45" t="e">
        <f t="shared" ref="W86" si="77">1-(W82*W60/W85)</f>
        <v>#N/A</v>
      </c>
      <c r="X86" s="45" t="e">
        <f t="shared" ref="X86" si="78">1-(X82*X60/X85)</f>
        <v>#N/A</v>
      </c>
      <c r="Y86" s="21"/>
    </row>
    <row r="87" spans="2:25">
      <c r="B87" s="9"/>
      <c r="C87" s="10"/>
      <c r="D87" s="10"/>
      <c r="E87" s="10"/>
      <c r="F87" s="10"/>
      <c r="G87" s="10"/>
      <c r="H87" s="10"/>
      <c r="I87" s="10"/>
      <c r="J87" s="10"/>
      <c r="K87" s="10"/>
      <c r="L87" s="10"/>
      <c r="M87" s="10"/>
      <c r="N87" s="10"/>
      <c r="O87" s="10"/>
      <c r="P87" s="10"/>
      <c r="Q87" s="10"/>
      <c r="R87" s="10"/>
      <c r="S87" s="10"/>
      <c r="T87" s="10"/>
      <c r="U87" s="10"/>
      <c r="V87" s="10"/>
      <c r="W87" s="10"/>
      <c r="X87" s="10"/>
      <c r="Y87" s="21"/>
    </row>
    <row r="88" spans="2:25">
      <c r="B88" s="9"/>
      <c r="C88" s="17" t="s">
        <v>9</v>
      </c>
      <c r="D88" s="17"/>
      <c r="E88" s="17"/>
      <c r="F88" s="17"/>
      <c r="G88" s="17"/>
      <c r="H88" s="17"/>
      <c r="I88" s="17"/>
      <c r="J88" s="17"/>
      <c r="K88" s="17"/>
      <c r="L88" s="17"/>
      <c r="M88" s="17"/>
      <c r="N88" s="17"/>
      <c r="O88" s="17"/>
      <c r="P88" s="17"/>
      <c r="Q88" s="17"/>
      <c r="R88" s="17"/>
      <c r="S88" s="17"/>
      <c r="T88" s="17"/>
      <c r="U88" s="17"/>
      <c r="V88" s="17"/>
      <c r="W88" s="17"/>
      <c r="X88" s="17"/>
      <c r="Y88" s="21"/>
    </row>
    <row r="89" spans="2:25" ht="18">
      <c r="B89" s="9"/>
      <c r="C89" s="34" t="s">
        <v>25</v>
      </c>
      <c r="D89" s="34" t="s">
        <v>127</v>
      </c>
      <c r="E89" s="55">
        <f>IF(OR(E$51="",E$52="",E$53="",E$54="",E$55="",E$60="",E$63="",E$64="",E$65=""),"",ROUNDDOWN(E81*E80*E86,0))</f>
        <v>54</v>
      </c>
      <c r="F89" s="55">
        <f t="shared" ref="F89:L89" si="79">IF(OR(F$51="",F$52="",F$53="",F$54="",F$55="",F$60="",F$63="",F$64="",F$65=""),"",ROUNDDOWN(F81*F80*F86,0))</f>
        <v>40</v>
      </c>
      <c r="G89" s="55">
        <f t="shared" si="79"/>
        <v>46</v>
      </c>
      <c r="H89" s="55">
        <f t="shared" si="79"/>
        <v>42</v>
      </c>
      <c r="I89" s="55">
        <f t="shared" si="79"/>
        <v>44</v>
      </c>
      <c r="J89" s="55">
        <f t="shared" si="79"/>
        <v>37</v>
      </c>
      <c r="K89" s="55">
        <f t="shared" si="79"/>
        <v>41</v>
      </c>
      <c r="L89" s="55">
        <f t="shared" si="79"/>
        <v>45</v>
      </c>
      <c r="M89" s="55" t="str">
        <f t="shared" ref="M89:X89" si="80">IF(OR(M$51="",M$52="",M$53="",M$54="",M$55="",M$60="",M$63="",M$64="",M$65=""),"",M81*M80)</f>
        <v/>
      </c>
      <c r="N89" s="55" t="str">
        <f t="shared" si="80"/>
        <v/>
      </c>
      <c r="O89" s="55" t="str">
        <f t="shared" si="80"/>
        <v/>
      </c>
      <c r="P89" s="55" t="str">
        <f t="shared" si="80"/>
        <v/>
      </c>
      <c r="Q89" s="55" t="str">
        <f t="shared" si="80"/>
        <v/>
      </c>
      <c r="R89" s="55" t="str">
        <f t="shared" si="80"/>
        <v/>
      </c>
      <c r="S89" s="55" t="str">
        <f t="shared" si="80"/>
        <v/>
      </c>
      <c r="T89" s="55" t="str">
        <f t="shared" si="80"/>
        <v/>
      </c>
      <c r="U89" s="55" t="str">
        <f t="shared" si="80"/>
        <v/>
      </c>
      <c r="V89" s="55" t="str">
        <f t="shared" si="80"/>
        <v/>
      </c>
      <c r="W89" s="55" t="str">
        <f t="shared" si="80"/>
        <v/>
      </c>
      <c r="X89" s="55" t="str">
        <f t="shared" si="80"/>
        <v/>
      </c>
      <c r="Y89" s="21"/>
    </row>
    <row r="90" spans="2:25">
      <c r="B90" s="9"/>
      <c r="C90" s="10"/>
      <c r="D90" s="72" t="s">
        <v>186</v>
      </c>
      <c r="E90" s="72">
        <f>IF(OR(E$7="",E$8="",E$9="",E$10="",E$12="",E$16="",E$19="",E$20="",E$21=""),"",ROUNDDOWN(3600*E54/(E78+(E53*E54)+(0.675*E53*E51))*E81*E86,0))</f>
        <v>62</v>
      </c>
      <c r="F90" s="72">
        <f t="shared" ref="F90:X90" si="81">IF(OR(F$7="",F$8="",F$9="",F$10="",F$12="",F$16="",F$19="",F$20="",F$21=""),"",ROUNDDOWN(3600*F54/(F78+(F53*F54)+(0.675*F53*F51))*F81*F86,0))</f>
        <v>46</v>
      </c>
      <c r="G90" s="72">
        <f t="shared" si="81"/>
        <v>55</v>
      </c>
      <c r="H90" s="72">
        <f t="shared" si="81"/>
        <v>51</v>
      </c>
      <c r="I90" s="72">
        <f t="shared" si="81"/>
        <v>53</v>
      </c>
      <c r="J90" s="72">
        <f t="shared" si="81"/>
        <v>45</v>
      </c>
      <c r="K90" s="72">
        <f t="shared" si="81"/>
        <v>48</v>
      </c>
      <c r="L90" s="72">
        <f t="shared" si="81"/>
        <v>52</v>
      </c>
      <c r="M90" s="72" t="str">
        <f t="shared" si="81"/>
        <v/>
      </c>
      <c r="N90" s="72" t="str">
        <f t="shared" si="81"/>
        <v/>
      </c>
      <c r="O90" s="72" t="str">
        <f t="shared" si="81"/>
        <v/>
      </c>
      <c r="P90" s="72" t="str">
        <f t="shared" si="81"/>
        <v/>
      </c>
      <c r="Q90" s="72" t="str">
        <f t="shared" si="81"/>
        <v/>
      </c>
      <c r="R90" s="72" t="str">
        <f t="shared" si="81"/>
        <v/>
      </c>
      <c r="S90" s="72" t="str">
        <f t="shared" si="81"/>
        <v/>
      </c>
      <c r="T90" s="72" t="str">
        <f t="shared" si="81"/>
        <v/>
      </c>
      <c r="U90" s="72" t="str">
        <f t="shared" si="81"/>
        <v/>
      </c>
      <c r="V90" s="72" t="str">
        <f t="shared" si="81"/>
        <v/>
      </c>
      <c r="W90" s="72" t="str">
        <f t="shared" si="81"/>
        <v/>
      </c>
      <c r="X90" s="72" t="str">
        <f t="shared" si="81"/>
        <v/>
      </c>
      <c r="Y90" s="21"/>
    </row>
    <row r="91" spans="2:25">
      <c r="B91" s="9"/>
      <c r="C91" s="34" t="s">
        <v>31</v>
      </c>
      <c r="D91" s="34" t="s">
        <v>184</v>
      </c>
      <c r="E91" s="55">
        <f>MIN(E89:X89)</f>
        <v>37</v>
      </c>
      <c r="F91" s="73">
        <f>MIN(E90:X90)</f>
        <v>45</v>
      </c>
      <c r="G91" s="78">
        <f>MIN(E90,G90,I90,K90,M90,O90,Q90,S90,U90,W90)</f>
        <v>48</v>
      </c>
      <c r="H91" s="78">
        <f>MIN(E90,H90,K90,N90,Q90,T90,W90)</f>
        <v>48</v>
      </c>
      <c r="I91" s="78">
        <f>MIN(E90,I90,M90,Q90,U90)</f>
        <v>53</v>
      </c>
      <c r="J91" s="78">
        <f>MIN(F90,H90,J90,L90,N90,P90,R90,T90,V90,X90)</f>
        <v>45</v>
      </c>
      <c r="K91" s="78">
        <f>MIN(F90,I90,L90,O90,R90,U90,X90)</f>
        <v>46</v>
      </c>
      <c r="L91" s="78">
        <f>MIN(F90,J90,N90,R90,V90)</f>
        <v>45</v>
      </c>
      <c r="M91" s="78"/>
      <c r="N91" s="78">
        <f>MIN(G90,J90,M90,P90,S90,V90)</f>
        <v>45</v>
      </c>
      <c r="O91" s="78">
        <f>MIN(G90,K90,O90,S90,W90)</f>
        <v>48</v>
      </c>
      <c r="P91" s="78"/>
      <c r="Q91" s="79"/>
      <c r="R91" s="78">
        <f>MIN(H90,L90,P90,T90,X90)</f>
        <v>51</v>
      </c>
      <c r="S91" s="71"/>
      <c r="T91" s="71"/>
      <c r="U91" s="71"/>
      <c r="V91" s="71"/>
      <c r="W91" s="71"/>
      <c r="X91" s="71"/>
      <c r="Y91" s="21"/>
    </row>
    <row r="92" spans="2:25" ht="13.5" thickBot="1">
      <c r="B92" s="22"/>
      <c r="C92" s="23"/>
      <c r="D92" s="23"/>
      <c r="E92" s="23"/>
      <c r="F92" s="23"/>
      <c r="G92" s="23"/>
      <c r="H92" s="23"/>
      <c r="I92" s="23"/>
      <c r="J92" s="23"/>
      <c r="K92" s="23"/>
      <c r="L92" s="23"/>
      <c r="M92" s="23"/>
      <c r="N92" s="23"/>
      <c r="O92" s="23"/>
      <c r="P92" s="23"/>
      <c r="Q92" s="23"/>
      <c r="R92" s="23"/>
      <c r="S92" s="23"/>
      <c r="T92" s="23"/>
      <c r="U92" s="23"/>
      <c r="V92" s="23"/>
      <c r="W92" s="23"/>
      <c r="X92" s="23"/>
      <c r="Y92" s="24"/>
    </row>
    <row r="95" spans="2:25" hidden="1"/>
    <row r="96" spans="2:25" hidden="1"/>
    <row r="97" spans="4:24" hidden="1"/>
    <row r="98" spans="4:24" hidden="1"/>
    <row r="99" spans="4:24" hidden="1">
      <c r="D99" t="s">
        <v>102</v>
      </c>
      <c r="E99">
        <f t="shared" ref="E99:X99" si="82">IF(OR(ISNA(E9),ISERROR(E9),E9=0),"",E9)</f>
        <v>20</v>
      </c>
      <c r="F99">
        <f t="shared" si="82"/>
        <v>28</v>
      </c>
      <c r="G99">
        <f t="shared" si="82"/>
        <v>52</v>
      </c>
      <c r="H99">
        <f t="shared" si="82"/>
        <v>38</v>
      </c>
      <c r="I99">
        <f t="shared" si="82"/>
        <v>60</v>
      </c>
      <c r="J99">
        <f t="shared" si="82"/>
        <v>44</v>
      </c>
      <c r="K99">
        <f t="shared" si="82"/>
        <v>20</v>
      </c>
      <c r="L99">
        <f t="shared" si="82"/>
        <v>32</v>
      </c>
      <c r="M99" t="str">
        <f t="shared" si="82"/>
        <v/>
      </c>
      <c r="N99" t="str">
        <f t="shared" si="82"/>
        <v/>
      </c>
      <c r="O99" t="str">
        <f t="shared" si="82"/>
        <v/>
      </c>
      <c r="P99" t="str">
        <f t="shared" si="82"/>
        <v/>
      </c>
      <c r="Q99" t="str">
        <f t="shared" si="82"/>
        <v/>
      </c>
      <c r="R99" t="str">
        <f t="shared" si="82"/>
        <v/>
      </c>
      <c r="S99" t="str">
        <f t="shared" si="82"/>
        <v/>
      </c>
      <c r="T99" t="str">
        <f t="shared" si="82"/>
        <v/>
      </c>
      <c r="U99" t="str">
        <f t="shared" si="82"/>
        <v/>
      </c>
      <c r="V99" t="str">
        <f t="shared" si="82"/>
        <v/>
      </c>
      <c r="W99" t="str">
        <f t="shared" si="82"/>
        <v/>
      </c>
      <c r="X99" t="str">
        <f t="shared" si="82"/>
        <v/>
      </c>
    </row>
    <row r="100" spans="4:24" hidden="1">
      <c r="D100" t="s">
        <v>103</v>
      </c>
      <c r="E100">
        <f t="shared" ref="E100:X100" si="83">IF(OR(ISNA(E53),ISERROR(E53),E53=0),"",E53)</f>
        <v>16</v>
      </c>
      <c r="F100">
        <f t="shared" si="83"/>
        <v>24</v>
      </c>
      <c r="G100">
        <f t="shared" si="83"/>
        <v>44</v>
      </c>
      <c r="H100">
        <f t="shared" si="83"/>
        <v>52</v>
      </c>
      <c r="I100">
        <f t="shared" si="83"/>
        <v>40</v>
      </c>
      <c r="J100">
        <f t="shared" si="83"/>
        <v>60</v>
      </c>
      <c r="K100">
        <f t="shared" si="83"/>
        <v>24</v>
      </c>
      <c r="L100">
        <f t="shared" si="83"/>
        <v>20</v>
      </c>
      <c r="M100" t="str">
        <f t="shared" si="83"/>
        <v/>
      </c>
      <c r="N100" t="str">
        <f t="shared" si="83"/>
        <v/>
      </c>
      <c r="O100" t="str">
        <f t="shared" si="83"/>
        <v/>
      </c>
      <c r="P100" t="str">
        <f t="shared" si="83"/>
        <v/>
      </c>
      <c r="Q100" t="str">
        <f t="shared" si="83"/>
        <v/>
      </c>
      <c r="R100" t="str">
        <f t="shared" si="83"/>
        <v/>
      </c>
      <c r="S100" t="str">
        <f t="shared" si="83"/>
        <v/>
      </c>
      <c r="T100" t="str">
        <f t="shared" si="83"/>
        <v/>
      </c>
      <c r="U100" t="str">
        <f t="shared" si="83"/>
        <v/>
      </c>
      <c r="V100" t="str">
        <f t="shared" si="83"/>
        <v/>
      </c>
      <c r="W100" t="str">
        <f t="shared" si="83"/>
        <v/>
      </c>
      <c r="X100" t="str">
        <f t="shared" si="83"/>
        <v/>
      </c>
    </row>
    <row r="101" spans="4:24" hidden="1"/>
    <row r="102" spans="4:24" hidden="1"/>
    <row r="103" spans="4:24" hidden="1"/>
    <row r="104" spans="4:24" hidden="1"/>
  </sheetData>
  <conditionalFormatting sqref="E25:X37 E73:E77 F75:X77 F70:X70 G71:X71 E41:F41 H41:X41 E45:X45">
    <cfRule type="expression" dxfId="95" priority="103">
      <formula>OR(E$7="",E$8="",E$9="",E$10="",E$12="",E$16="",E$19="",E$20="",E$21="")</formula>
    </cfRule>
  </conditionalFormatting>
  <conditionalFormatting sqref="G91:I91 E89:X89">
    <cfRule type="expression" dxfId="94" priority="100">
      <formula>OR(E$51="",E$52="",E$53="",E$54="",E$55="",E$60="",E$63="",E$64="",E$65="")</formula>
    </cfRule>
  </conditionalFormatting>
  <conditionalFormatting sqref="E15">
    <cfRule type="expression" dxfId="93" priority="98">
      <formula>E14&lt;&gt;"Influenced"</formula>
    </cfRule>
  </conditionalFormatting>
  <conditionalFormatting sqref="F15:X15">
    <cfRule type="expression" dxfId="92" priority="96">
      <formula>F14&lt;&gt;"Influenced"</formula>
    </cfRule>
  </conditionalFormatting>
  <conditionalFormatting sqref="E59">
    <cfRule type="expression" dxfId="91" priority="95">
      <formula>E58&lt;&gt;"Influenced"</formula>
    </cfRule>
  </conditionalFormatting>
  <conditionalFormatting sqref="F59:X59">
    <cfRule type="expression" dxfId="90" priority="94">
      <formula>F58&lt;&gt;"Influenced"</formula>
    </cfRule>
  </conditionalFormatting>
  <conditionalFormatting sqref="E69">
    <cfRule type="expression" dxfId="89" priority="93">
      <formula>OR(E$7="",E$8="",E$9="",E$10="",E$12="",E$16="",E$19="",E$20="",E$21="")</formula>
    </cfRule>
  </conditionalFormatting>
  <conditionalFormatting sqref="F69:X69">
    <cfRule type="expression" dxfId="88" priority="92">
      <formula>OR(F$7="",F$8="",F$9="",F$10="",F$12="",F$16="",F$19="",F$20="",F$21="")</formula>
    </cfRule>
  </conditionalFormatting>
  <conditionalFormatting sqref="E70">
    <cfRule type="expression" dxfId="87" priority="91">
      <formula>OR(E$7="",E$8="",E$9="",E$10="",E$12="",E$16="",E$19="",E$20="",E$21="")</formula>
    </cfRule>
  </conditionalFormatting>
  <conditionalFormatting sqref="F73:X73">
    <cfRule type="expression" dxfId="86" priority="90">
      <formula>OR(F$7="",F$8="",F$9="",F$10="",F$12="",F$16="",F$19="",F$20="",F$21="")</formula>
    </cfRule>
  </conditionalFormatting>
  <conditionalFormatting sqref="E78:E80">
    <cfRule type="expression" dxfId="85" priority="89">
      <formula>OR(E$7="",E$8="",E$9="",E$10="",E$12="",E$16="",E$19="",E$20="",E$21="")</formula>
    </cfRule>
  </conditionalFormatting>
  <conditionalFormatting sqref="F78:X80">
    <cfRule type="expression" dxfId="84" priority="88">
      <formula>OR(F$7="",F$8="",F$9="",F$10="",F$12="",F$16="",F$19="",F$20="",F$21="")</formula>
    </cfRule>
  </conditionalFormatting>
  <conditionalFormatting sqref="E81:X81">
    <cfRule type="expression" dxfId="83" priority="87">
      <formula>OR(E$7="",E$8="",E$9="",E$10="",E$12="",E$16="",E$19="",E$20="",E$21="")</formula>
    </cfRule>
  </conditionalFormatting>
  <conditionalFormatting sqref="E72">
    <cfRule type="expression" dxfId="82" priority="86">
      <formula>OR(E$7="",E$8="",E$9="",E$10="",E$12="",E$16="",E$19="",E$20="",E$21="")</formula>
    </cfRule>
  </conditionalFormatting>
  <conditionalFormatting sqref="F72:X72">
    <cfRule type="expression" dxfId="81" priority="85">
      <formula>OR(F$7="",F$8="",F$9="",F$10="",F$12="",F$16="",F$19="",F$20="",F$21="")</formula>
    </cfRule>
  </conditionalFormatting>
  <conditionalFormatting sqref="F74:X74">
    <cfRule type="expression" dxfId="80" priority="84">
      <formula>OR(F$7="",F$8="",F$9="",F$10="",F$12="",F$16="",F$19="",F$20="",F$21="")</formula>
    </cfRule>
  </conditionalFormatting>
  <conditionalFormatting sqref="E71:F71">
    <cfRule type="expression" dxfId="79" priority="83">
      <formula>OR(E$7="",E$8="",E$9="",E$10="",E$12="",E$16="",E$19="",E$20="",E$21="")</formula>
    </cfRule>
  </conditionalFormatting>
  <conditionalFormatting sqref="F17">
    <cfRule type="expression" dxfId="78" priority="81">
      <formula>#REF!="Bus lane"</formula>
    </cfRule>
    <cfRule type="expression" dxfId="77" priority="82">
      <formula>#REF!="Mixed"</formula>
    </cfRule>
  </conditionalFormatting>
  <conditionalFormatting sqref="E17:L17">
    <cfRule type="expression" dxfId="76" priority="80">
      <formula>E$45=""</formula>
    </cfRule>
  </conditionalFormatting>
  <conditionalFormatting sqref="E61:L62">
    <cfRule type="expression" dxfId="75" priority="75">
      <formula>E$29="Bus lane"</formula>
    </cfRule>
    <cfRule type="expression" dxfId="74" priority="76">
      <formula>E$29="Mixed"</formula>
    </cfRule>
  </conditionalFormatting>
  <conditionalFormatting sqref="E61:L62">
    <cfRule type="expression" dxfId="73" priority="74">
      <formula>E$89=""</formula>
    </cfRule>
  </conditionalFormatting>
  <conditionalFormatting sqref="E18:L18">
    <cfRule type="expression" dxfId="72" priority="72">
      <formula>E$29="Bus lane"</formula>
    </cfRule>
    <cfRule type="expression" dxfId="71" priority="73">
      <formula>E$29="Mixed"</formula>
    </cfRule>
  </conditionalFormatting>
  <conditionalFormatting sqref="E18:L18">
    <cfRule type="expression" dxfId="70" priority="71">
      <formula>E$89=""</formula>
    </cfRule>
  </conditionalFormatting>
  <conditionalFormatting sqref="F22">
    <cfRule type="expression" dxfId="69" priority="69">
      <formula>#REF!="Bus lane"</formula>
    </cfRule>
    <cfRule type="expression" dxfId="68" priority="70">
      <formula>#REF!="Mixed"</formula>
    </cfRule>
  </conditionalFormatting>
  <conditionalFormatting sqref="E22:X22">
    <cfRule type="expression" dxfId="67" priority="68">
      <formula>E$45=""</formula>
    </cfRule>
  </conditionalFormatting>
  <conditionalFormatting sqref="F66">
    <cfRule type="expression" dxfId="66" priority="66">
      <formula>#REF!="Bus lane"</formula>
    </cfRule>
    <cfRule type="expression" dxfId="65" priority="67">
      <formula>#REF!="Mixed"</formula>
    </cfRule>
  </conditionalFormatting>
  <conditionalFormatting sqref="E66:X66">
    <cfRule type="expression" dxfId="64" priority="65">
      <formula>E$45=""</formula>
    </cfRule>
  </conditionalFormatting>
  <conditionalFormatting sqref="G38:G40 E39:X40">
    <cfRule type="expression" dxfId="63" priority="64">
      <formula>#REF!="Bus lane"</formula>
    </cfRule>
  </conditionalFormatting>
  <conditionalFormatting sqref="G42">
    <cfRule type="expression" dxfId="62" priority="63">
      <formula>#REF!="Mixed"</formula>
    </cfRule>
  </conditionalFormatting>
  <conditionalFormatting sqref="G38:G40 G42 E39:X40">
    <cfRule type="expression" dxfId="61" priority="62">
      <formula>E$45=""</formula>
    </cfRule>
  </conditionalFormatting>
  <conditionalFormatting sqref="H38:X38">
    <cfRule type="expression" dxfId="60" priority="60">
      <formula>#REF!="Bus lane"</formula>
    </cfRule>
  </conditionalFormatting>
  <conditionalFormatting sqref="H38:X38">
    <cfRule type="expression" dxfId="59" priority="59">
      <formula>H$45=""</formula>
    </cfRule>
  </conditionalFormatting>
  <conditionalFormatting sqref="E39:X39">
    <cfRule type="expression" dxfId="58" priority="58">
      <formula>#REF!="Bus lane"</formula>
    </cfRule>
  </conditionalFormatting>
  <conditionalFormatting sqref="E39:X39">
    <cfRule type="expression" dxfId="57" priority="57">
      <formula>E$45=""</formula>
    </cfRule>
  </conditionalFormatting>
  <conditionalFormatting sqref="H40:X40">
    <cfRule type="expression" dxfId="56" priority="56">
      <formula>#REF!="Bus lane"</formula>
    </cfRule>
  </conditionalFormatting>
  <conditionalFormatting sqref="H40:X40">
    <cfRule type="expression" dxfId="55" priority="55">
      <formula>H$45=""</formula>
    </cfRule>
  </conditionalFormatting>
  <conditionalFormatting sqref="E41:X41">
    <cfRule type="expression" dxfId="54" priority="54">
      <formula>E$45=""</formula>
    </cfRule>
  </conditionalFormatting>
  <conditionalFormatting sqref="E41:X41">
    <cfRule type="expression" dxfId="53" priority="53">
      <formula>#REF!="Bus lane"</formula>
    </cfRule>
  </conditionalFormatting>
  <conditionalFormatting sqref="E38:F38 E40:X40">
    <cfRule type="expression" dxfId="52" priority="52">
      <formula>#REF!="Bus lane"</formula>
    </cfRule>
  </conditionalFormatting>
  <conditionalFormatting sqref="E38:F38 E40:X40">
    <cfRule type="expression" dxfId="51" priority="51">
      <formula>E$45=""</formula>
    </cfRule>
  </conditionalFormatting>
  <conditionalFormatting sqref="E39:X39">
    <cfRule type="expression" dxfId="50" priority="50">
      <formula>#REF!="Bus lane"</formula>
    </cfRule>
  </conditionalFormatting>
  <conditionalFormatting sqref="E39:X39">
    <cfRule type="expression" dxfId="49" priority="49">
      <formula>E$45=""</formula>
    </cfRule>
  </conditionalFormatting>
  <conditionalFormatting sqref="E42:F42">
    <cfRule type="expression" dxfId="48" priority="48">
      <formula>#REF!="Mixed"</formula>
    </cfRule>
  </conditionalFormatting>
  <conditionalFormatting sqref="E42:F42">
    <cfRule type="expression" dxfId="47" priority="47">
      <formula>E$45=""</formula>
    </cfRule>
  </conditionalFormatting>
  <conditionalFormatting sqref="H42:X42">
    <cfRule type="expression" dxfId="46" priority="46">
      <formula>#REF!="Mixed"</formula>
    </cfRule>
  </conditionalFormatting>
  <conditionalFormatting sqref="H42:X42">
    <cfRule type="expression" dxfId="45" priority="45">
      <formula>H$45=""</formula>
    </cfRule>
  </conditionalFormatting>
  <conditionalFormatting sqref="E47">
    <cfRule type="expression" dxfId="44" priority="44">
      <formula>OR(E$7="",E$8="",E$9="",E$10="",E$12="",E$16="",E$19="",E$20="",E$21="")</formula>
    </cfRule>
  </conditionalFormatting>
  <conditionalFormatting sqref="F85:X85">
    <cfRule type="expression" dxfId="43" priority="19">
      <formula>OR(F$7="",F$8="",F$9="",F$10="",F$12="",F$16="",F$19="",F$20="",F$21="")</formula>
    </cfRule>
  </conditionalFormatting>
  <conditionalFormatting sqref="F84:X84">
    <cfRule type="expression" dxfId="42" priority="18">
      <formula>#REF!="Bus lane"</formula>
    </cfRule>
  </conditionalFormatting>
  <conditionalFormatting sqref="F84:X84">
    <cfRule type="expression" dxfId="41" priority="17">
      <formula>F$45=""</formula>
    </cfRule>
  </conditionalFormatting>
  <conditionalFormatting sqref="F85:X85">
    <cfRule type="expression" dxfId="40" priority="16">
      <formula>F$45=""</formula>
    </cfRule>
  </conditionalFormatting>
  <conditionalFormatting sqref="F85:X85">
    <cfRule type="expression" dxfId="39" priority="15">
      <formula>#REF!="Bus lane"</formula>
    </cfRule>
  </conditionalFormatting>
  <conditionalFormatting sqref="E82">
    <cfRule type="expression" dxfId="38" priority="38">
      <formula>#REF!="Bus lane"</formula>
    </cfRule>
  </conditionalFormatting>
  <conditionalFormatting sqref="E82">
    <cfRule type="expression" dxfId="37" priority="37">
      <formula>E$45=""</formula>
    </cfRule>
  </conditionalFormatting>
  <conditionalFormatting sqref="F86:X86">
    <cfRule type="expression" dxfId="36" priority="10">
      <formula>#REF!="Mixed"</formula>
    </cfRule>
  </conditionalFormatting>
  <conditionalFormatting sqref="F86:X86">
    <cfRule type="expression" dxfId="35" priority="9">
      <formula>F$45=""</formula>
    </cfRule>
  </conditionalFormatting>
  <conditionalFormatting sqref="E85">
    <cfRule type="expression" dxfId="34" priority="32">
      <formula>OR(E$7="",E$8="",E$9="",E$10="",E$12="",E$16="",E$19="",E$20="",E$21="")</formula>
    </cfRule>
  </conditionalFormatting>
  <conditionalFormatting sqref="E84">
    <cfRule type="expression" dxfId="33" priority="31">
      <formula>#REF!="Bus lane"</formula>
    </cfRule>
  </conditionalFormatting>
  <conditionalFormatting sqref="E84">
    <cfRule type="expression" dxfId="32" priority="30">
      <formula>E$45=""</formula>
    </cfRule>
  </conditionalFormatting>
  <conditionalFormatting sqref="E85">
    <cfRule type="expression" dxfId="31" priority="29">
      <formula>E$45=""</formula>
    </cfRule>
  </conditionalFormatting>
  <conditionalFormatting sqref="E85">
    <cfRule type="expression" dxfId="30" priority="28">
      <formula>#REF!="Bus lane"</formula>
    </cfRule>
  </conditionalFormatting>
  <conditionalFormatting sqref="E84">
    <cfRule type="expression" dxfId="29" priority="27">
      <formula>#REF!="Bus lane"</formula>
    </cfRule>
  </conditionalFormatting>
  <conditionalFormatting sqref="E84">
    <cfRule type="expression" dxfId="28" priority="26">
      <formula>E$45=""</formula>
    </cfRule>
  </conditionalFormatting>
  <conditionalFormatting sqref="E86">
    <cfRule type="expression" dxfId="27" priority="23">
      <formula>#REF!="Mixed"</formula>
    </cfRule>
  </conditionalFormatting>
  <conditionalFormatting sqref="E86">
    <cfRule type="expression" dxfId="26" priority="22">
      <formula>E$45=""</formula>
    </cfRule>
  </conditionalFormatting>
  <conditionalFormatting sqref="F82:X82">
    <cfRule type="expression" dxfId="25" priority="21">
      <formula>#REF!="Bus lane"</formula>
    </cfRule>
  </conditionalFormatting>
  <conditionalFormatting sqref="F82:X82">
    <cfRule type="expression" dxfId="24" priority="20">
      <formula>F$45=""</formula>
    </cfRule>
  </conditionalFormatting>
  <conditionalFormatting sqref="F84:X84">
    <cfRule type="expression" dxfId="23" priority="14">
      <formula>#REF!="Bus lane"</formula>
    </cfRule>
  </conditionalFormatting>
  <conditionalFormatting sqref="F84:X84">
    <cfRule type="expression" dxfId="22" priority="13">
      <formula>F$45=""</formula>
    </cfRule>
  </conditionalFormatting>
  <conditionalFormatting sqref="E91">
    <cfRule type="expression" dxfId="21" priority="8">
      <formula>OR(E$7="",E$8="",E$9="",E$10="",E$12="",E$16="",E$19="",E$20="",E$21="")</formula>
    </cfRule>
  </conditionalFormatting>
  <conditionalFormatting sqref="E83:X83">
    <cfRule type="expression" dxfId="20" priority="7">
      <formula>#REF!="Bus lane"</formula>
    </cfRule>
  </conditionalFormatting>
  <conditionalFormatting sqref="E83:X83">
    <cfRule type="expression" dxfId="19" priority="6">
      <formula>E$45=""</formula>
    </cfRule>
  </conditionalFormatting>
  <conditionalFormatting sqref="E83:X83">
    <cfRule type="expression" dxfId="18" priority="5">
      <formula>#REF!="Bus lane"</formula>
    </cfRule>
  </conditionalFormatting>
  <conditionalFormatting sqref="E83:X83">
    <cfRule type="expression" dxfId="17" priority="4">
      <formula>E$45=""</formula>
    </cfRule>
  </conditionalFormatting>
  <conditionalFormatting sqref="E83:X83">
    <cfRule type="expression" dxfId="16" priority="3">
      <formula>#REF!="Bus lane"</formula>
    </cfRule>
  </conditionalFormatting>
  <conditionalFormatting sqref="E83:X83">
    <cfRule type="expression" dxfId="15" priority="2">
      <formula>E$45=""</formula>
    </cfRule>
  </conditionalFormatting>
  <conditionalFormatting sqref="G47:I47">
    <cfRule type="expression" dxfId="14" priority="1">
      <formula>OR(G$51="",G$52="",G$53="",G$54="",G$55="",G$60="",G$63="",G$64="",G$65="")</formula>
    </cfRule>
  </conditionalFormatting>
  <dataValidations count="4">
    <dataValidation type="decimal" allowBlank="1" showInputMessage="1" showErrorMessage="1" sqref="E10:X10 E54:X54">
      <formula1>0</formula1>
      <formula2>1</formula2>
    </dataValidation>
    <dataValidation type="list" allowBlank="1" showInputMessage="1" showErrorMessage="1" sqref="E14:X14 E58:X58">
      <formula1>StopLocation</formula1>
    </dataValidation>
    <dataValidation type="decimal" allowBlank="1" showInputMessage="1" showErrorMessage="1" sqref="E8:X8 H52:X52">
      <formula1>0.01</formula1>
      <formula2>0.25</formula2>
    </dataValidation>
    <dataValidation type="list" allowBlank="1" showInputMessage="1" showErrorMessage="1" sqref="E57:X57">
      <formula1>$R$44:$R$47</formula1>
    </dataValidation>
  </dataValidations>
  <pageMargins left="0.7" right="0.7" top="0.75" bottom="0.75" header="0.3" footer="0.3"/>
  <pageSetup orientation="portrait" r:id="rId1"/>
  <ignoredErrors>
    <ignoredError sqref="R43:X44 R35:X37" evalError="1"/>
  </ignoredErrors>
  <extLst>
    <ext xmlns:x14="http://schemas.microsoft.com/office/spreadsheetml/2009/9/main" uri="{CCE6A557-97BC-4b89-ADB6-D9C93CAAB3DF}">
      <x14:dataValidations xmlns:xm="http://schemas.microsoft.com/office/excel/2006/main" count="6">
        <x14:dataValidation type="list" allowBlank="1" showInputMessage="1" showErrorMessage="1">
          <x14:formula1>
            <xm:f>Lookup!$R$3:$R$4</xm:f>
          </x14:formula1>
          <xm:sqref>E12:X12 E56:X56</xm:sqref>
        </x14:dataValidation>
        <x14:dataValidation type="list" allowBlank="1" showInputMessage="1" showErrorMessage="1">
          <x14:formula1>
            <xm:f>Lookup!$R$13:$R$14</xm:f>
          </x14:formula1>
          <xm:sqref>E21:X21 E65:X65</xm:sqref>
        </x14:dataValidation>
        <x14:dataValidation type="list" allowBlank="1" showInputMessage="1" showErrorMessage="1">
          <x14:formula1>
            <xm:f>Lookup!$R$17:$R$18</xm:f>
          </x14:formula1>
          <xm:sqref>E63:X63 E19:X19</xm:sqref>
        </x14:dataValidation>
        <x14:dataValidation type="list" allowBlank="1" showInputMessage="1" showErrorMessage="1">
          <x14:formula1>
            <xm:f>Lookup!$A$3:$A$12</xm:f>
          </x14:formula1>
          <xm:sqref>E52:G52</xm:sqref>
        </x14:dataValidation>
        <x14:dataValidation type="list" allowBlank="1" showInputMessage="1" showErrorMessage="1">
          <x14:formula1>
            <xm:f>Lookup!$R$44:$R$47</xm:f>
          </x14:formula1>
          <xm:sqref>E13:X13</xm:sqref>
        </x14:dataValidation>
        <x14:dataValidation type="list" allowBlank="1" showInputMessage="1" showErrorMessage="1">
          <x14:formula1>
            <xm:f>Lookup!$R$9:$R$11</xm:f>
          </x14:formula1>
          <xm:sqref>E22:X22 E66:X66</xm:sqref>
        </x14:dataValidation>
      </x14:dataValidations>
    </ext>
  </extLst>
</worksheet>
</file>

<file path=xl/worksheets/sheet4.xml><?xml version="1.0" encoding="utf-8"?>
<worksheet xmlns="http://schemas.openxmlformats.org/spreadsheetml/2006/main" xmlns:r="http://schemas.openxmlformats.org/officeDocument/2006/relationships">
  <sheetPr codeName="Sheet5"/>
  <dimension ref="B1:G87"/>
  <sheetViews>
    <sheetView topLeftCell="A4" workbookViewId="0">
      <selection activeCell="C23" sqref="C23"/>
    </sheetView>
  </sheetViews>
  <sheetFormatPr defaultRowHeight="12.75"/>
  <cols>
    <col min="2" max="2" width="3.5703125" customWidth="1"/>
    <col min="4" max="4" width="39" customWidth="1"/>
    <col min="5" max="6" width="10.7109375" customWidth="1"/>
    <col min="7" max="7" width="3.85546875" customWidth="1"/>
  </cols>
  <sheetData>
    <row r="1" spans="2:7" ht="13.5" thickBot="1"/>
    <row r="2" spans="2:7">
      <c r="B2" s="6"/>
      <c r="C2" s="7"/>
      <c r="D2" s="7"/>
      <c r="E2" s="7"/>
      <c r="F2" s="7"/>
      <c r="G2" s="8"/>
    </row>
    <row r="3" spans="2:7" ht="15.75">
      <c r="B3" s="9"/>
      <c r="C3" s="48" t="s">
        <v>190</v>
      </c>
      <c r="D3" s="48"/>
      <c r="E3" s="48"/>
      <c r="F3" s="48"/>
      <c r="G3" s="21"/>
    </row>
    <row r="4" spans="2:7">
      <c r="B4" s="9"/>
      <c r="G4" s="21"/>
    </row>
    <row r="5" spans="2:7">
      <c r="B5" s="9"/>
      <c r="G5" s="21"/>
    </row>
    <row r="6" spans="2:7">
      <c r="B6" s="9"/>
      <c r="C6" s="13"/>
      <c r="D6" s="13"/>
      <c r="E6" s="95" t="s">
        <v>47</v>
      </c>
      <c r="F6" s="95"/>
      <c r="G6" s="21"/>
    </row>
    <row r="7" spans="2:7">
      <c r="B7" s="9"/>
      <c r="C7" s="17" t="s">
        <v>7</v>
      </c>
      <c r="D7" s="17"/>
      <c r="E7" s="43" t="s">
        <v>38</v>
      </c>
      <c r="F7" s="43" t="s">
        <v>39</v>
      </c>
      <c r="G7" s="21"/>
    </row>
    <row r="8" spans="2:7" ht="14.25">
      <c r="B8" s="9"/>
      <c r="C8" s="38" t="s">
        <v>48</v>
      </c>
      <c r="D8" s="38" t="s">
        <v>36</v>
      </c>
      <c r="E8" s="41">
        <v>2</v>
      </c>
      <c r="F8" s="41">
        <v>2</v>
      </c>
      <c r="G8" s="21"/>
    </row>
    <row r="9" spans="2:7">
      <c r="B9" s="9"/>
      <c r="C9" s="38"/>
      <c r="D9" s="38" t="s">
        <v>37</v>
      </c>
      <c r="E9" s="41" t="s">
        <v>5</v>
      </c>
      <c r="F9" s="41" t="s">
        <v>5</v>
      </c>
      <c r="G9" s="21"/>
    </row>
    <row r="10" spans="2:7" ht="14.25">
      <c r="B10" s="9"/>
      <c r="C10" s="38" t="s">
        <v>295</v>
      </c>
      <c r="D10" s="38" t="s">
        <v>191</v>
      </c>
      <c r="E10" s="41">
        <v>550</v>
      </c>
      <c r="F10" s="41">
        <v>550</v>
      </c>
      <c r="G10" s="21"/>
    </row>
    <row r="11" spans="2:7">
      <c r="B11" s="9"/>
      <c r="C11" s="10"/>
      <c r="D11" s="10"/>
      <c r="E11" s="19"/>
      <c r="F11" s="19"/>
      <c r="G11" s="21"/>
    </row>
    <row r="12" spans="2:7">
      <c r="B12" s="9"/>
      <c r="C12" s="17" t="s">
        <v>8</v>
      </c>
      <c r="D12" s="17"/>
      <c r="E12" s="44"/>
      <c r="F12" s="44"/>
      <c r="G12" s="21"/>
    </row>
    <row r="13" spans="2:7" ht="14.25">
      <c r="B13" s="9"/>
      <c r="C13" s="31" t="s">
        <v>43</v>
      </c>
      <c r="D13" s="31" t="s">
        <v>192</v>
      </c>
      <c r="E13" s="49">
        <f>IF(E8=2,MIN('Step 1 - Capacity'!E45,'Step 1 - Capacity'!G45,'Step 1 - Capacity'!I45,'Step 1 - Capacity'!K45,'Step 1 - Capacity'!M45,'Step 1 - Capacity'!O45,'Step 1 - Capacity'!Q45,'Step 1 - Capacity'!S45,'Step 1 - Capacity'!U45,'Step 1 - Capacity'!W45),IF(E8=3,MIN('Step 1 - Capacity'!E45,'Step 1 - Capacity'!H45,'Step 1 - Capacity'!K45,'Step 1 - Capacity'!N45,'Step 1 - Capacity'!Q45,'Step 1 - Capacity'!T45,'Step 1 - Capacity'!W45),MIN('Step 1 - Capacity'!E45,'Step 1 - Capacity'!I45,'Step 1 - Capacity'!M45,'Step 1 - Capacity'!Q45,'Step 1 - Capacity'!U45)))</f>
        <v>37</v>
      </c>
      <c r="F13" s="49">
        <f>IF(F8=2,MIN('Step 1 - Capacity'!E89,'Step 1 - Capacity'!G89,'Step 1 - Capacity'!I89,'Step 1 - Capacity'!K89,'Step 1 - Capacity'!M89,'Step 1 - Capacity'!O89,'Step 1 - Capacity'!Q89,'Step 1 - Capacity'!S89,'Step 1 - Capacity'!U89,'Step 1 - Capacity'!W89),IF(E8=3,MIN('Step 1 - Capacity'!E89,'Step 1 - Capacity'!H89,'Step 1 - Capacity'!K89,'Step 1 - Capacity'!N89,'Step 1 - Capacity'!Q89,'Step 1 - Capacity'!T89,'Step 1 - Capacity'!W89),MIN('Step 1 - Capacity'!E89,'Step 1 - Capacity'!I89,'Step 1 - Capacity'!M89,'Step 1 - Capacity'!Q89,'Step 1 - Capacity'!U89)))</f>
        <v>41</v>
      </c>
      <c r="G13" s="21"/>
    </row>
    <row r="14" spans="2:7" ht="14.25">
      <c r="B14" s="9"/>
      <c r="C14" s="31" t="s">
        <v>44</v>
      </c>
      <c r="D14" s="31" t="s">
        <v>193</v>
      </c>
      <c r="E14" s="49">
        <f>IF(E8=2,MIN('Step 1 - Capacity'!F45,'Step 1 - Capacity'!H45,'Step 1 - Capacity'!J45,'Step 1 - Capacity'!L45,'Step 1 - Capacity'!N45,'Step 1 - Capacity'!P45,'Step 1 - Capacity'!R45,'Step 1 - Capacity'!T45,'Step 1 - Capacity'!V45,'Step 1 - Capacity'!X45),IF(E8=3,MIN('Step 1 - Capacity'!F45,'Step 1 - Capacity'!I45,'Step 1 - Capacity'!L45,'Step 1 - Capacity'!O45,'Step 1 - Capacity'!R45,'Step 1 - Capacity'!U45,'Step 1 - Capacity'!X45),MIN('Step 1 - Capacity'!F45,'Step 1 - Capacity'!J45,'Step 1 - Capacity'!N45,'Step 1 - Capacity'!R45,'Step 1 - Capacity'!V45)))</f>
        <v>33</v>
      </c>
      <c r="F14" s="49">
        <f>IF(F8=2,MIN('Step 1 - Capacity'!F89,'Step 1 - Capacity'!H89,'Step 1 - Capacity'!J89,'Step 1 - Capacity'!L89,'Step 1 - Capacity'!N89,'Step 1 - Capacity'!P89,'Step 1 - Capacity'!R89,'Step 1 - Capacity'!T89,'Step 1 - Capacity'!V89,'Step 1 - Capacity'!X89),IF(E8=3,MIN('Step 1 - Capacity'!F89,'Step 1 - Capacity'!I89,'Step 1 - Capacity'!L89,'Step 1 - Capacity'!O89,'Step 1 - Capacity'!R89,'Step 1 - Capacity'!U89,'Step 1 - Capacity'!X89),MIN('Step 1 - Capacity'!F89,'Step 1 - Capacity'!J89,'Step 1 - Capacity'!N89,'Step 1 - Capacity'!R89,'Step 1 - Capacity'!V89)))</f>
        <v>37</v>
      </c>
      <c r="G14" s="21"/>
    </row>
    <row r="15" spans="2:7" ht="14.25">
      <c r="B15" s="9"/>
      <c r="C15" s="31" t="s">
        <v>45</v>
      </c>
      <c r="D15" s="31" t="s">
        <v>194</v>
      </c>
      <c r="E15" s="49" t="str">
        <f>IF(E8&lt;3,"",IF(E8=3,MIN('Step 1 - Capacity'!G45,'Step 1 - Capacity'!J45,'Step 1 - Capacity'!M45,'Step 1 - Capacity'!P45,'Step 1 - Capacity'!S45,'Step 1 - Capacity'!V45),MIN('Step 1 - Capacity'!G45,'Step 1 - Capacity'!K45,'Step 1 - Capacity'!O45,'Step 1 - Capacity'!S45,'Step 1 - Capacity'!W45)))</f>
        <v/>
      </c>
      <c r="F15" s="49" t="str">
        <f>IF(F8&lt;3,"",IF(E8=3,MIN('Step 1 - Capacity'!G89,'Step 1 - Capacity'!J89,'Step 1 - Capacity'!M89,'Step 1 - Capacity'!P89,'Step 1 - Capacity'!S89,'Step 1 - Capacity'!V89),MIN('Step 1 - Capacity'!G89,'Step 1 - Capacity'!K89,'Step 1 - Capacity'!O89,'Step 1 - Capacity'!S89,'Step 1 - Capacity'!W89)))</f>
        <v/>
      </c>
      <c r="G15" s="21"/>
    </row>
    <row r="16" spans="2:7" ht="14.25">
      <c r="B16" s="9"/>
      <c r="C16" s="31" t="s">
        <v>46</v>
      </c>
      <c r="D16" s="31" t="s">
        <v>195</v>
      </c>
      <c r="E16" s="49" t="str">
        <f>IF(E8&lt;4,"",MIN('Step 1 - Capacity'!H45,'Step 1 - Capacity'!L45,'Step 1 - Capacity'!P45,'Step 1 - Capacity'!T45,'Step 1 - Capacity'!X45))</f>
        <v/>
      </c>
      <c r="F16" s="49" t="str">
        <f>IF(F8&lt;4,"",MIN('Step 1 - Capacity'!H89,'Step 1 - Capacity'!L89,'Step 1 - Capacity'!P89,'Step 1 - Capacity'!T89,'Step 1 - Capacity'!X89))</f>
        <v/>
      </c>
      <c r="G16" s="21"/>
    </row>
    <row r="17" spans="2:7" ht="14.25">
      <c r="B17" s="9"/>
      <c r="C17" s="31" t="s">
        <v>278</v>
      </c>
      <c r="D17" s="31" t="s">
        <v>282</v>
      </c>
      <c r="E17" s="49">
        <f>IF(E8=2,'Step 1 - Capacity'!G47,IF(E8=3,'Step 1 - Capacity'!H47,'Step 1 - Capacity'!I47))</f>
        <v>45</v>
      </c>
      <c r="F17" s="49">
        <f>IF(F8=2,'Step 1 - Capacity'!G91,IF(F8=3,'Step 1 - Capacity'!H91,'Step 1 - Capacity'!I91))</f>
        <v>48</v>
      </c>
      <c r="G17" s="21"/>
    </row>
    <row r="18" spans="2:7" ht="14.25">
      <c r="B18" s="9"/>
      <c r="C18" s="31" t="s">
        <v>279</v>
      </c>
      <c r="D18" s="31" t="s">
        <v>283</v>
      </c>
      <c r="E18" s="49">
        <f>IF(E8=2,'Step 1 - Capacity'!J47,IF(E8=3,'Step 1 - Capacity'!K47,'Step 1 - Capacity'!L47))</f>
        <v>40</v>
      </c>
      <c r="F18" s="49">
        <f>IF(F8=2,'Step 1 - Capacity'!J91,IF(F8=3,'Step 1 - Capacity'!K91,'Step 1 - Capacity'!L91))</f>
        <v>45</v>
      </c>
      <c r="G18" s="21"/>
    </row>
    <row r="19" spans="2:7" ht="14.25">
      <c r="B19" s="9"/>
      <c r="C19" s="31" t="s">
        <v>280</v>
      </c>
      <c r="D19" s="31" t="s">
        <v>284</v>
      </c>
      <c r="E19" s="49" t="str">
        <f>IF(E8&lt;3,"",IF(E8=3,'Step 1 - Capacity'!N47,'Step 1 - Capacity'!O47))</f>
        <v/>
      </c>
      <c r="F19" s="49" t="str">
        <f>IF(F8&lt;3,"",IF(F8=3,'Step 1 - Capacity'!N91,'Step 1 - Capacity'!O91))</f>
        <v/>
      </c>
      <c r="G19" s="21"/>
    </row>
    <row r="20" spans="2:7" ht="14.25">
      <c r="B20" s="9"/>
      <c r="C20" s="31" t="s">
        <v>281</v>
      </c>
      <c r="D20" s="31" t="s">
        <v>285</v>
      </c>
      <c r="E20" s="49" t="str">
        <f>IF(E8&lt;4,"",'Step 1 - Capacity'!R47)</f>
        <v/>
      </c>
      <c r="F20" s="49" t="str">
        <f>IF(F8&lt;4,"",'Step 1 - Capacity'!R91)</f>
        <v/>
      </c>
      <c r="G20" s="21"/>
    </row>
    <row r="21" spans="2:7" ht="14.25">
      <c r="B21" s="9"/>
      <c r="C21" s="31" t="s">
        <v>40</v>
      </c>
      <c r="D21" s="31" t="s">
        <v>196</v>
      </c>
      <c r="E21" s="35">
        <f>VLOOKUP($E9,Lookup!$A$36:$B$38,2,0)</f>
        <v>0.75</v>
      </c>
      <c r="F21" s="35">
        <f>VLOOKUP($F9,Lookup!$A$36:$B$38,2,0)</f>
        <v>0.75</v>
      </c>
      <c r="G21" s="21"/>
    </row>
    <row r="22" spans="2:7" ht="14.25">
      <c r="B22" s="9"/>
      <c r="C22" s="31" t="s">
        <v>296</v>
      </c>
      <c r="D22" s="31" t="s">
        <v>197</v>
      </c>
      <c r="E22" s="49">
        <f>ROUND(AVERAGE('Step 1 - Capacity'!E39:X39),0)</f>
        <v>731</v>
      </c>
      <c r="F22" s="49">
        <f>ROUND(AVERAGE('Step 1 - Capacity'!E83:X83),0)</f>
        <v>731</v>
      </c>
      <c r="G22" s="21"/>
    </row>
    <row r="23" spans="2:7" ht="14.25">
      <c r="B23" s="9"/>
      <c r="C23" s="31" t="s">
        <v>41</v>
      </c>
      <c r="D23" s="31" t="s">
        <v>198</v>
      </c>
      <c r="E23" s="45">
        <f>1-0.8*(E10/E22)^3</f>
        <v>0.65925779881905089</v>
      </c>
      <c r="F23" s="45">
        <f>1-0.8*(F10/F22)^3</f>
        <v>0.65925779881905089</v>
      </c>
      <c r="G23" s="21"/>
    </row>
    <row r="24" spans="2:7" ht="14.25">
      <c r="B24" s="9"/>
      <c r="C24" s="31" t="s">
        <v>42</v>
      </c>
      <c r="D24" s="31" t="s">
        <v>199</v>
      </c>
      <c r="E24" s="45">
        <f>(1+E21*E23*(E8-1))/E8</f>
        <v>0.74722167455714406</v>
      </c>
      <c r="F24" s="45">
        <f>(1+F21*F23*(F8-1))/F8</f>
        <v>0.74722167455714406</v>
      </c>
      <c r="G24" s="21"/>
    </row>
    <row r="25" spans="2:7">
      <c r="B25" s="9"/>
      <c r="C25" s="10"/>
      <c r="D25" s="10"/>
      <c r="E25" s="19"/>
      <c r="F25" s="19"/>
      <c r="G25" s="21"/>
    </row>
    <row r="26" spans="2:7">
      <c r="B26" s="9"/>
      <c r="C26" s="10"/>
      <c r="D26" s="10"/>
      <c r="E26" s="19"/>
      <c r="F26" s="19"/>
      <c r="G26" s="21"/>
    </row>
    <row r="27" spans="2:7">
      <c r="B27" s="9"/>
      <c r="C27" s="17" t="s">
        <v>11</v>
      </c>
      <c r="D27" s="17"/>
      <c r="E27" s="44"/>
      <c r="F27" s="44"/>
      <c r="G27" s="21"/>
    </row>
    <row r="28" spans="2:7">
      <c r="B28" s="9"/>
      <c r="C28" s="33" t="s">
        <v>31</v>
      </c>
      <c r="D28" s="33" t="s">
        <v>286</v>
      </c>
      <c r="E28" s="46">
        <f>ROUNDDOWN(E24*SUM(E13:E16),0)</f>
        <v>52</v>
      </c>
      <c r="F28" s="46">
        <f>ROUNDDOWN(F24*SUM(F13:F16),0)</f>
        <v>58</v>
      </c>
      <c r="G28" s="21"/>
    </row>
    <row r="29" spans="2:7" ht="14.25">
      <c r="B29" s="9"/>
      <c r="C29" s="33" t="s">
        <v>287</v>
      </c>
      <c r="D29" s="33" t="s">
        <v>288</v>
      </c>
      <c r="E29" s="46">
        <f>ROUNDDOWN(E24*SUM(E17:E20),0)</f>
        <v>63</v>
      </c>
      <c r="F29" s="46">
        <f>ROUNDDOWN(F24*SUM(F17:F20),0)</f>
        <v>69</v>
      </c>
      <c r="G29" s="21"/>
    </row>
    <row r="30" spans="2:7" ht="13.5" thickBot="1">
      <c r="B30" s="22"/>
      <c r="C30" s="23"/>
      <c r="D30" s="23"/>
      <c r="E30" s="23"/>
      <c r="F30" s="23"/>
      <c r="G30" s="24"/>
    </row>
    <row r="44" spans="7:7">
      <c r="G44" s="47"/>
    </row>
    <row r="45" spans="7:7">
      <c r="G45" s="47"/>
    </row>
    <row r="50" spans="7:7">
      <c r="G50" s="47"/>
    </row>
    <row r="51" spans="7:7">
      <c r="G51" s="47"/>
    </row>
    <row r="52" spans="7:7">
      <c r="G52" s="47"/>
    </row>
    <row r="53" spans="7:7">
      <c r="G53" s="47"/>
    </row>
    <row r="54" spans="7:7">
      <c r="G54" s="47"/>
    </row>
    <row r="55" spans="7:7">
      <c r="G55" s="47"/>
    </row>
    <row r="56" spans="7:7">
      <c r="G56" s="47"/>
    </row>
    <row r="57" spans="7:7">
      <c r="G57" s="47"/>
    </row>
    <row r="58" spans="7:7">
      <c r="G58" s="47"/>
    </row>
    <row r="59" spans="7:7">
      <c r="G59" s="47"/>
    </row>
    <row r="60" spans="7:7">
      <c r="G60" s="47"/>
    </row>
    <row r="61" spans="7:7">
      <c r="G61" s="47"/>
    </row>
    <row r="62" spans="7:7">
      <c r="G62" s="47"/>
    </row>
    <row r="63" spans="7:7">
      <c r="G63" s="47"/>
    </row>
    <row r="64" spans="7:7">
      <c r="G64" s="47"/>
    </row>
    <row r="65" spans="7:7">
      <c r="G65" s="47"/>
    </row>
    <row r="66" spans="7:7">
      <c r="G66" s="47"/>
    </row>
    <row r="67" spans="7:7">
      <c r="G67" s="47"/>
    </row>
    <row r="68" spans="7:7">
      <c r="G68" s="47"/>
    </row>
    <row r="69" spans="7:7">
      <c r="G69" s="47"/>
    </row>
    <row r="70" spans="7:7">
      <c r="G70" s="47"/>
    </row>
    <row r="71" spans="7:7">
      <c r="G71" s="47"/>
    </row>
    <row r="72" spans="7:7">
      <c r="G72" s="47"/>
    </row>
    <row r="73" spans="7:7">
      <c r="G73" s="47"/>
    </row>
    <row r="74" spans="7:7">
      <c r="G74" s="47"/>
    </row>
    <row r="75" spans="7:7">
      <c r="G75" s="47"/>
    </row>
    <row r="76" spans="7:7">
      <c r="G76" s="47"/>
    </row>
    <row r="77" spans="7:7">
      <c r="G77" s="47"/>
    </row>
    <row r="78" spans="7:7">
      <c r="G78" s="47"/>
    </row>
    <row r="79" spans="7:7">
      <c r="G79" s="47"/>
    </row>
    <row r="80" spans="7:7">
      <c r="G80" s="47"/>
    </row>
    <row r="81" spans="7:7">
      <c r="G81" s="47"/>
    </row>
    <row r="82" spans="7:7">
      <c r="G82" s="47"/>
    </row>
    <row r="83" spans="7:7">
      <c r="G83" s="47"/>
    </row>
    <row r="84" spans="7:7">
      <c r="G84" s="47"/>
    </row>
    <row r="85" spans="7:7">
      <c r="G85" s="47"/>
    </row>
    <row r="86" spans="7:7">
      <c r="G86" s="47"/>
    </row>
    <row r="87" spans="7:7">
      <c r="G87" s="47"/>
    </row>
  </sheetData>
  <mergeCells count="1">
    <mergeCell ref="E6:F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Lookup!$R$49:$R$51</xm:f>
          </x14:formula1>
          <xm:sqref>E8:F8</xm:sqref>
        </x14:dataValidation>
        <x14:dataValidation type="list" allowBlank="1" showInputMessage="1" showErrorMessage="1">
          <x14:formula1>
            <xm:f>Lookup!$A$36:$A$38</xm:f>
          </x14:formula1>
          <xm:sqref>E9:F9</xm:sqref>
        </x14:dataValidation>
      </x14:dataValidations>
    </ext>
  </extLst>
</worksheet>
</file>

<file path=xl/worksheets/sheet5.xml><?xml version="1.0" encoding="utf-8"?>
<worksheet xmlns="http://schemas.openxmlformats.org/spreadsheetml/2006/main" xmlns:r="http://schemas.openxmlformats.org/officeDocument/2006/relationships">
  <dimension ref="B1:I34"/>
  <sheetViews>
    <sheetView topLeftCell="A5" workbookViewId="0">
      <selection activeCell="D35" sqref="D35"/>
    </sheetView>
  </sheetViews>
  <sheetFormatPr defaultRowHeight="12.75"/>
  <cols>
    <col min="2" max="2" width="3.7109375" customWidth="1"/>
    <col min="4" max="4" width="44.42578125" customWidth="1"/>
    <col min="5" max="5" width="20.7109375" style="2" customWidth="1"/>
    <col min="6" max="6" width="21.140625" customWidth="1"/>
    <col min="7" max="7" width="3.42578125" customWidth="1"/>
  </cols>
  <sheetData>
    <row r="1" spans="2:7" ht="13.5" thickBot="1"/>
    <row r="2" spans="2:7">
      <c r="B2" s="6"/>
      <c r="C2" s="7"/>
      <c r="D2" s="7"/>
      <c r="E2" s="58"/>
      <c r="F2" s="7"/>
      <c r="G2" s="8"/>
    </row>
    <row r="3" spans="2:7" ht="15.75">
      <c r="B3" s="9"/>
      <c r="C3" s="27" t="s">
        <v>200</v>
      </c>
      <c r="D3" s="27"/>
      <c r="E3" s="27"/>
      <c r="F3" s="27"/>
      <c r="G3" s="21"/>
    </row>
    <row r="4" spans="2:7">
      <c r="B4" s="9"/>
      <c r="C4" s="13"/>
      <c r="D4" s="13"/>
      <c r="E4" s="56"/>
      <c r="F4" s="13"/>
      <c r="G4" s="21"/>
    </row>
    <row r="5" spans="2:7">
      <c r="B5" s="9"/>
      <c r="C5" s="17" t="s">
        <v>7</v>
      </c>
      <c r="D5" s="17"/>
      <c r="E5" s="43" t="s">
        <v>38</v>
      </c>
      <c r="F5" s="43" t="s">
        <v>39</v>
      </c>
      <c r="G5" s="21"/>
    </row>
    <row r="6" spans="2:7">
      <c r="B6" s="9"/>
      <c r="C6" s="38"/>
      <c r="D6" s="38" t="s">
        <v>211</v>
      </c>
      <c r="E6" s="41" t="s">
        <v>110</v>
      </c>
      <c r="F6" s="41" t="s">
        <v>110</v>
      </c>
      <c r="G6" s="21"/>
    </row>
    <row r="7" spans="2:7">
      <c r="B7" s="9"/>
      <c r="C7" s="38"/>
      <c r="D7" s="38" t="s">
        <v>201</v>
      </c>
      <c r="E7" s="41">
        <v>26</v>
      </c>
      <c r="F7" s="41">
        <v>26</v>
      </c>
      <c r="G7" s="21"/>
    </row>
    <row r="8" spans="2:7">
      <c r="B8" s="9"/>
      <c r="C8" s="38"/>
      <c r="D8" s="38" t="s">
        <v>202</v>
      </c>
      <c r="E8" s="41">
        <v>4</v>
      </c>
      <c r="F8" s="41">
        <v>4</v>
      </c>
      <c r="G8" s="21"/>
    </row>
    <row r="9" spans="2:7">
      <c r="B9" s="9"/>
      <c r="C9" s="38"/>
      <c r="D9" s="38" t="s">
        <v>222</v>
      </c>
      <c r="E9" s="41" t="s">
        <v>227</v>
      </c>
      <c r="F9" s="41" t="s">
        <v>227</v>
      </c>
      <c r="G9" s="21"/>
    </row>
    <row r="10" spans="2:7">
      <c r="B10" s="9"/>
      <c r="C10" s="38"/>
      <c r="D10" s="38" t="s">
        <v>108</v>
      </c>
      <c r="E10" s="41" t="s">
        <v>5</v>
      </c>
      <c r="F10" s="41" t="s">
        <v>5</v>
      </c>
      <c r="G10" s="21"/>
    </row>
    <row r="11" spans="2:7" ht="14.25">
      <c r="B11" s="9"/>
      <c r="C11" s="38" t="s">
        <v>116</v>
      </c>
      <c r="D11" s="38" t="s">
        <v>113</v>
      </c>
      <c r="E11" s="41">
        <v>660</v>
      </c>
      <c r="F11" s="41">
        <v>660</v>
      </c>
      <c r="G11" s="21"/>
    </row>
    <row r="12" spans="2:7" ht="14.25">
      <c r="B12" s="9"/>
      <c r="C12" s="38" t="s">
        <v>117</v>
      </c>
      <c r="D12" s="38" t="s">
        <v>112</v>
      </c>
      <c r="E12" s="41">
        <v>1320</v>
      </c>
      <c r="F12" s="41">
        <v>1320</v>
      </c>
      <c r="G12" s="21"/>
    </row>
    <row r="13" spans="2:7" ht="14.25">
      <c r="B13" s="9"/>
      <c r="C13" s="38" t="s">
        <v>203</v>
      </c>
      <c r="D13" s="38" t="s">
        <v>204</v>
      </c>
      <c r="E13" s="41">
        <v>25</v>
      </c>
      <c r="F13" s="41">
        <v>25</v>
      </c>
      <c r="G13" s="21"/>
    </row>
    <row r="14" spans="2:7" ht="15">
      <c r="B14" s="9"/>
      <c r="C14" s="38" t="s">
        <v>205</v>
      </c>
      <c r="D14" s="38" t="s">
        <v>207</v>
      </c>
      <c r="E14" s="69">
        <v>3.4</v>
      </c>
      <c r="F14" s="69">
        <v>3.4</v>
      </c>
      <c r="G14" s="21"/>
    </row>
    <row r="15" spans="2:7" ht="15">
      <c r="B15" s="9"/>
      <c r="C15" s="38" t="s">
        <v>206</v>
      </c>
      <c r="D15" s="38" t="s">
        <v>208</v>
      </c>
      <c r="E15" s="69">
        <v>4</v>
      </c>
      <c r="F15" s="69">
        <v>4</v>
      </c>
      <c r="G15" s="21"/>
    </row>
    <row r="16" spans="2:7">
      <c r="B16" s="9"/>
      <c r="C16" s="10"/>
      <c r="D16" s="10"/>
      <c r="E16" s="19"/>
      <c r="F16" s="13"/>
      <c r="G16" s="21"/>
    </row>
    <row r="17" spans="2:9">
      <c r="B17" s="9"/>
      <c r="C17" s="17" t="s">
        <v>8</v>
      </c>
      <c r="D17" s="17"/>
      <c r="E17" s="44"/>
      <c r="F17" s="59"/>
      <c r="G17" s="21"/>
    </row>
    <row r="18" spans="2:9" ht="14.25">
      <c r="B18" s="9"/>
      <c r="C18" s="31" t="s">
        <v>187</v>
      </c>
      <c r="D18" s="31" t="s">
        <v>140</v>
      </c>
      <c r="E18" s="36">
        <f>AVERAGE('Step 1 - Capacity'!$E9:$X9)</f>
        <v>36.75</v>
      </c>
      <c r="F18" s="36">
        <f>AVERAGE('Step 1 - Capacity'!$E53:$X53)</f>
        <v>35</v>
      </c>
      <c r="G18" s="21"/>
    </row>
    <row r="19" spans="2:9" ht="14.25">
      <c r="B19" s="9"/>
      <c r="C19" s="31" t="s">
        <v>209</v>
      </c>
      <c r="D19" s="31" t="s">
        <v>214</v>
      </c>
      <c r="E19" s="36">
        <f>1.47*E13/E14</f>
        <v>10.808823529411764</v>
      </c>
      <c r="F19" s="36">
        <f>1.47*F13/F14</f>
        <v>10.808823529411764</v>
      </c>
      <c r="G19" s="21"/>
    </row>
    <row r="20" spans="2:9" ht="14.25">
      <c r="B20" s="9"/>
      <c r="C20" s="31" t="s">
        <v>210</v>
      </c>
      <c r="D20" s="31" t="s">
        <v>215</v>
      </c>
      <c r="E20" s="36">
        <f>1.47*E13/E15</f>
        <v>9.1875</v>
      </c>
      <c r="F20" s="36">
        <f>1.47*F13/F15</f>
        <v>9.1875</v>
      </c>
      <c r="G20" s="21"/>
    </row>
    <row r="21" spans="2:9" ht="14.25">
      <c r="B21" s="9"/>
      <c r="C21" s="31" t="s">
        <v>212</v>
      </c>
      <c r="D21" s="31" t="s">
        <v>213</v>
      </c>
      <c r="E21" s="36">
        <f>(0.5*E14*E19*E19)+(0.5*E15*E20*E20)</f>
        <v>367.43244485294116</v>
      </c>
      <c r="F21" s="36">
        <f>(0.5*F14*F19*F19)+(0.5*F15*F20*F20)</f>
        <v>367.43244485294116</v>
      </c>
      <c r="G21" s="21"/>
    </row>
    <row r="22" spans="2:9">
      <c r="B22" s="9"/>
      <c r="C22" s="31"/>
      <c r="D22" s="31" t="s">
        <v>216</v>
      </c>
      <c r="E22" s="74">
        <f>E8*E21</f>
        <v>1469.7297794117646</v>
      </c>
      <c r="F22" s="74">
        <f>F8*F21</f>
        <v>1469.7297794117646</v>
      </c>
      <c r="G22" s="21"/>
      <c r="H22" s="75" t="str">
        <f>IF(OR(E22&gt;5280,F22&gt;5280),"ERROR: Reduce running speed","")</f>
        <v/>
      </c>
    </row>
    <row r="23" spans="2:9" ht="14.25">
      <c r="B23" s="9"/>
      <c r="C23" s="31" t="s">
        <v>217</v>
      </c>
      <c r="D23" s="31" t="s">
        <v>218</v>
      </c>
      <c r="E23" s="74">
        <f>MAX(0,5280-E22)</f>
        <v>3810.2702205882351</v>
      </c>
      <c r="F23" s="74">
        <f>MAX(0,5280-F22)</f>
        <v>3810.2702205882351</v>
      </c>
      <c r="G23" s="21"/>
      <c r="H23" s="75"/>
    </row>
    <row r="24" spans="2:9" ht="14.25">
      <c r="B24" s="9"/>
      <c r="C24" s="31" t="s">
        <v>219</v>
      </c>
      <c r="D24" s="31" t="s">
        <v>220</v>
      </c>
      <c r="E24" s="74">
        <f>E23/(1.47*E13)</f>
        <v>103.68082232893157</v>
      </c>
      <c r="F24" s="74">
        <f>F23/(1.47*F13)</f>
        <v>103.68082232893157</v>
      </c>
      <c r="G24" s="21"/>
      <c r="H24" s="75"/>
    </row>
    <row r="25" spans="2:9" ht="14.25">
      <c r="B25" s="9"/>
      <c r="C25" s="31" t="s">
        <v>221</v>
      </c>
      <c r="D25" s="31" t="s">
        <v>188</v>
      </c>
      <c r="E25" s="45">
        <f>(E24+E8*(E18+E19+E20))/60</f>
        <v>5.5111019407763111</v>
      </c>
      <c r="F25" s="45">
        <f>(F24+F8*(F18+F19+F20))/60</f>
        <v>5.394435274109644</v>
      </c>
      <c r="G25" s="21"/>
    </row>
    <row r="26" spans="2:9" ht="12.75" customHeight="1">
      <c r="B26" s="9"/>
      <c r="C26" s="31" t="s">
        <v>119</v>
      </c>
      <c r="D26" s="31" t="s">
        <v>189</v>
      </c>
      <c r="E26" s="45">
        <f>IF(E9="Bus lane, no right turns",IF(E10="Typical",Lookup!C42,IF(E10="Timed for buses",Lookup!C43,Lookup!C44)),IF(E9="Bus lane w/right turns",IF(E10="Typical",Lookup!D42,IF(E10="Timed for buses",Lookup!D43,Lookup!D44)),IF(E9="Bus lane w/blockage",IF(E10="Typical",Lookup!E42,IF(E10="Timed for buses",Lookup!E43,Lookup!E44)),IF(AND(E9="Mixed Traffic",OR('Step 1 - Capacity'!E13="Metro CBD",'Step 1 - Capacity'!E13="Other CBD")),IF(E10="Typical",Lookup!F42,IF(E10="Timed for buses",Lookup!F43,Lookup!F44)),IF(E9="Mixed Traffic",Lookup!F45,Lookup!C45)))))</f>
        <v>2</v>
      </c>
      <c r="F26" s="45">
        <f>IF(F9="Bus lane, no right turns",IF(F10="Typical",Lookup!C42,IF(F10="Timed for buses",Lookup!C43,Lookup!C44)),IF(F9="Bus lane w/right turns",IF(F10="Typical",Lookup!D42,IF(F10="Timed for buses",Lookup!D43,Lookup!D44)),IF(F9="Bus lane w/blockage",IF(F10="Typical",Lookup!E42,IF(F10="Timed for buses",Lookup!E43,Lookup!E44)),IF(AND(F9="Mixed Traffic",OR('Step 1 - Capacity'!F13="Metro CBD",'Step 1 - Capacity'!F13="Other CBD")),IF(F10="Typical",Lookup!F42,IF(F10="Timed for buses",Lookup!F43,Lookup!F44)),IF(F9="Mixed Traffic",Lookup!F45,Lookup!C45)))))</f>
        <v>2</v>
      </c>
      <c r="G26" s="21"/>
    </row>
    <row r="27" spans="2:9" ht="14.25">
      <c r="B27" s="9"/>
      <c r="C27" s="31" t="s">
        <v>118</v>
      </c>
      <c r="D27" s="31" t="s">
        <v>232</v>
      </c>
      <c r="E27" s="45">
        <f>E25+E26</f>
        <v>7.5111019407763111</v>
      </c>
      <c r="F27" s="45">
        <f>F25+F26</f>
        <v>7.394435274109644</v>
      </c>
      <c r="G27" s="21"/>
    </row>
    <row r="28" spans="2:9" ht="14.25">
      <c r="B28" s="9"/>
      <c r="C28" s="31" t="s">
        <v>289</v>
      </c>
      <c r="D28" s="31" t="s">
        <v>290</v>
      </c>
      <c r="E28" s="45">
        <f>IF(E$6="No",1,1-(E$11/E$12)*(('Step 2 - Skip-Stops'!E$10/'Step 2 - Skip-Stops'!E22)^2)*(E7/'Step 2 - Skip-Stops'!E29))</f>
        <v>0.88318639473944593</v>
      </c>
      <c r="F28" s="45">
        <f>IF(F$6="No",1,1-(F$11/F$12)*(('Step 2 - Skip-Stops'!F$10/'Step 2 - Skip-Stops'!F22)^2)*(F7/'Step 2 - Skip-Stops'!F29))</f>
        <v>0.8933440995447115</v>
      </c>
      <c r="G28" s="21"/>
      <c r="I28" s="83"/>
    </row>
    <row r="29" spans="2:9" ht="14.25">
      <c r="B29" s="9"/>
      <c r="C29" s="31" t="s">
        <v>292</v>
      </c>
      <c r="D29" s="31" t="s">
        <v>291</v>
      </c>
      <c r="E29" s="45">
        <f>E7/IF(E6="No",'Step 1 - Capacity'!F47,'Step 2 - Skip-Stops'!E29)</f>
        <v>0.41269841269841268</v>
      </c>
      <c r="F29" s="45">
        <f>F7/IF(F6="No",'Step 1 - Capacity'!F91,'Step 2 - Skip-Stops'!F29)</f>
        <v>0.37681159420289856</v>
      </c>
      <c r="G29" s="21"/>
    </row>
    <row r="30" spans="2:9" ht="14.25">
      <c r="B30" s="9"/>
      <c r="C30" s="31" t="s">
        <v>294</v>
      </c>
      <c r="D30" s="31" t="s">
        <v>114</v>
      </c>
      <c r="E30" s="45">
        <f>IF(E29&lt;0.5,1,IF(E29&lt;=0.6,Lookup!$I34+((0.6-E29)/0.1)*Lookup!$J34,IF(E29&lt;=0.7,Lookup!$I35+((0.7-E29)/0.1)*Lookup!$J35,IF(E29&lt;=0.8,Lookup!$I36+((0.8-E29)/0.1)*Lookup!$J36,IF(E29&lt;=0.9,Lookup!$I37+((0.9-E29)/0.1)*Lookup!$J37,IF(E29&lt;=1,Lookup!$I38+(1-E29)/0.1*Lookup!$J38,IF(E29&lt;=1.1,Lookup!$I39+((1.1-E29)/0.1)*Lookup!$J39,0.35)))))))</f>
        <v>1</v>
      </c>
      <c r="F30" s="45">
        <f>IF(F29&lt;0.5,1,IF(F29&lt;=0.6,Lookup!$I34+((0.6-F29)/0.1)*Lookup!$J34,IF(F29&lt;=0.7,Lookup!$I35+((0.7-F29)/0.1)*Lookup!$J35,IF(F29&lt;=0.8,Lookup!$I36+((0.8-F29)/0.1)*Lookup!$J36,IF(F29&lt;=0.9,Lookup!$I37+((0.9-F29)/0.1)*Lookup!$J37,IF(F29&lt;=1,Lookup!$I38+(1-F29)/0.1*Lookup!$J38,IF(F29&lt;=1.1,Lookup!$I39+((1.1-F29)/0.1)*Lookup!$J39,0.35)))))))</f>
        <v>1</v>
      </c>
      <c r="G30" s="21"/>
    </row>
    <row r="31" spans="2:9">
      <c r="B31" s="9"/>
      <c r="E31" s="56"/>
      <c r="F31" s="13"/>
      <c r="G31" s="21"/>
    </row>
    <row r="32" spans="2:9">
      <c r="B32" s="9"/>
      <c r="C32" s="17" t="s">
        <v>11</v>
      </c>
      <c r="D32" s="17"/>
      <c r="E32" s="44"/>
      <c r="F32" s="59"/>
      <c r="G32" s="21"/>
    </row>
    <row r="33" spans="2:7" ht="12.75" customHeight="1">
      <c r="B33" s="9"/>
      <c r="C33" s="34" t="s">
        <v>120</v>
      </c>
      <c r="D33" s="57" t="s">
        <v>233</v>
      </c>
      <c r="E33" s="76">
        <f>(60/(E$25+E$26))*E$28*E30</f>
        <v>7.0550478614446606</v>
      </c>
      <c r="F33" s="76">
        <f>(60/F27)*F$28*F30</f>
        <v>7.2487815479778721</v>
      </c>
      <c r="G33" s="21"/>
    </row>
    <row r="34" spans="2:7" ht="13.5" thickBot="1">
      <c r="B34" s="22"/>
      <c r="C34" s="23"/>
      <c r="D34" s="23"/>
      <c r="E34" s="60"/>
      <c r="F34" s="23"/>
      <c r="G34" s="24"/>
    </row>
  </sheetData>
  <conditionalFormatting sqref="E10">
    <cfRule type="expression" dxfId="13" priority="84">
      <formula>E$9="Non-CBD"</formula>
    </cfRule>
  </conditionalFormatting>
  <conditionalFormatting sqref="F11:F12">
    <cfRule type="expression" dxfId="12" priority="52">
      <formula>F$6="No"</formula>
    </cfRule>
  </conditionalFormatting>
  <conditionalFormatting sqref="E11:E12">
    <cfRule type="expression" dxfId="11" priority="21">
      <formula>E$6="No"</formula>
    </cfRule>
  </conditionalFormatting>
  <conditionalFormatting sqref="E22:E24">
    <cfRule type="expression" dxfId="10" priority="14">
      <formula>E22&lt;=5280</formula>
    </cfRule>
  </conditionalFormatting>
  <conditionalFormatting sqref="F22">
    <cfRule type="expression" dxfId="9" priority="12">
      <formula>F22&lt;=5280</formula>
    </cfRule>
  </conditionalFormatting>
  <conditionalFormatting sqref="F23">
    <cfRule type="expression" dxfId="8" priority="11">
      <formula>F23&lt;=5280</formula>
    </cfRule>
  </conditionalFormatting>
  <conditionalFormatting sqref="F24">
    <cfRule type="expression" dxfId="7" priority="10">
      <formula>F24&lt;=5280</formula>
    </cfRule>
  </conditionalFormatting>
  <conditionalFormatting sqref="F10">
    <cfRule type="expression" dxfId="6" priority="8">
      <formula>F$9="Non-CBD"</formula>
    </cfRule>
  </conditionalFormatting>
  <dataValidations count="2">
    <dataValidation type="decimal" allowBlank="1" showInputMessage="1" showErrorMessage="1" sqref="E8:F8">
      <formula1>0.1</formula1>
      <formula2>15</formula2>
    </dataValidation>
    <dataValidation type="whole" allowBlank="1" showInputMessage="1" showErrorMessage="1" sqref="E13:F13">
      <formula1>5</formula1>
      <formula2>80</formula2>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9" id="{76838059-99DE-4D21-BEBA-0A5C248C23FC}">
            <xm:f>OR('Step 1 - Capacity'!$E$13="Metro non-CBD",'Step 1 - Capacity'!$E$13="Other non-CBD")</xm:f>
            <x14:dxf>
              <font>
                <color theme="0" tint="-0.24994659260841701"/>
              </font>
              <fill>
                <patternFill>
                  <bgColor theme="0" tint="-0.24994659260841701"/>
                </patternFill>
              </fill>
            </x14:dxf>
          </x14:cfRule>
          <xm:sqref>E10</xm:sqref>
        </x14:conditionalFormatting>
        <x14:conditionalFormatting xmlns:xm="http://schemas.microsoft.com/office/excel/2006/main">
          <x14:cfRule type="expression" priority="7" id="{48A3E78A-078C-40C7-A100-73DD99306690}">
            <xm:f>OR('Step 1 - Capacity'!$E$13="Metro non-CBD",'Step 1 - Capacity'!$E$13="Other non-CBD")</xm:f>
            <x14:dxf>
              <font>
                <color theme="0" tint="-0.24994659260841701"/>
              </font>
              <fill>
                <patternFill>
                  <bgColor theme="0" tint="-0.24994659260841701"/>
                </patternFill>
              </fill>
            </x14:dxf>
          </x14:cfRule>
          <xm:sqref>F10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Lookup!$R$30:$R$32</xm:f>
          </x14:formula1>
          <xm:sqref>E10:F10</xm:sqref>
        </x14:dataValidation>
        <x14:dataValidation type="list" allowBlank="1" showInputMessage="1" showErrorMessage="1">
          <x14:formula1>
            <xm:f>Lookup!$R$27:$R$28</xm:f>
          </x14:formula1>
          <xm:sqref>E6:F6</xm:sqref>
        </x14:dataValidation>
        <x14:dataValidation type="list" allowBlank="1" showInputMessage="1" showErrorMessage="1">
          <x14:formula1>
            <xm:f>IF(OR('Step 1 - Capacity'!$I$13="Metro non-CBD",'Step 1 - Capacity'!$I$13="Other non-CBD"),Lookup!$R$6:$R$7,Lookup!$R$53:$R$56)</xm:f>
          </x14:formula1>
          <xm:sqref>F9</xm:sqref>
        </x14:dataValidation>
        <x14:dataValidation type="list" allowBlank="1" showInputMessage="1" showErrorMessage="1">
          <x14:formula1>
            <xm:f>IF(OR('Step 1 - Capacity'!$E$13="Metro non-CBD",'Step 1 - Capacity'!$E$13="Other non-CBD"),Lookup!$R$6:$R$7,Lookup!$R$53:$R$56)</xm:f>
          </x14:formula1>
          <xm:sqref>E9</xm:sqref>
        </x14:dataValidation>
      </x14:dataValidations>
    </ext>
  </extLst>
</worksheet>
</file>

<file path=xl/worksheets/sheet6.xml><?xml version="1.0" encoding="utf-8"?>
<worksheet xmlns="http://schemas.openxmlformats.org/spreadsheetml/2006/main" xmlns:r="http://schemas.openxmlformats.org/officeDocument/2006/relationships">
  <dimension ref="A1:C16"/>
  <sheetViews>
    <sheetView workbookViewId="0">
      <selection activeCell="H13" sqref="H13"/>
    </sheetView>
  </sheetViews>
  <sheetFormatPr defaultRowHeight="12.75"/>
  <cols>
    <col min="1" max="1" width="5.140625" customWidth="1"/>
    <col min="2" max="2" width="37.140625" customWidth="1"/>
  </cols>
  <sheetData>
    <row r="1" spans="1:3" ht="14.25">
      <c r="A1" s="38" t="s">
        <v>134</v>
      </c>
      <c r="B1" s="38" t="s">
        <v>135</v>
      </c>
      <c r="C1" s="69">
        <v>7</v>
      </c>
    </row>
    <row r="2" spans="1:3" ht="14.25">
      <c r="A2" s="38" t="s">
        <v>136</v>
      </c>
      <c r="B2" s="38" t="s">
        <v>137</v>
      </c>
      <c r="C2" s="69">
        <v>3.3</v>
      </c>
    </row>
    <row r="3" spans="1:3" ht="14.25">
      <c r="A3" s="38" t="s">
        <v>293</v>
      </c>
      <c r="B3" s="38" t="s">
        <v>138</v>
      </c>
      <c r="C3" s="62">
        <v>10</v>
      </c>
    </row>
    <row r="4" spans="1:3">
      <c r="B4" s="81" t="s">
        <v>252</v>
      </c>
    </row>
    <row r="5" spans="1:3">
      <c r="A5" s="38"/>
      <c r="B5" s="38" t="s">
        <v>245</v>
      </c>
      <c r="C5" s="42">
        <v>1.75</v>
      </c>
    </row>
    <row r="6" spans="1:3">
      <c r="A6" s="38"/>
      <c r="B6" s="38" t="s">
        <v>246</v>
      </c>
      <c r="C6" s="42">
        <v>2</v>
      </c>
    </row>
    <row r="7" spans="1:3">
      <c r="A7" s="38"/>
      <c r="B7" s="38" t="s">
        <v>247</v>
      </c>
      <c r="C7" s="42">
        <v>3</v>
      </c>
    </row>
    <row r="8" spans="1:3">
      <c r="A8" s="38"/>
      <c r="B8" s="38" t="s">
        <v>248</v>
      </c>
      <c r="C8" s="42">
        <v>4.5</v>
      </c>
    </row>
    <row r="9" spans="1:3">
      <c r="A9" s="38"/>
      <c r="B9" s="38" t="s">
        <v>249</v>
      </c>
      <c r="C9" s="42">
        <v>4</v>
      </c>
    </row>
    <row r="10" spans="1:3">
      <c r="A10" s="38"/>
      <c r="B10" s="38" t="s">
        <v>250</v>
      </c>
      <c r="C10" s="42">
        <v>5</v>
      </c>
    </row>
    <row r="11" spans="1:3">
      <c r="A11" s="38"/>
      <c r="B11" s="38" t="s">
        <v>244</v>
      </c>
      <c r="C11" s="42">
        <v>2.75</v>
      </c>
    </row>
    <row r="12" spans="1:3">
      <c r="A12" s="38"/>
      <c r="B12" s="38" t="s">
        <v>251</v>
      </c>
      <c r="C12" s="42">
        <v>4.5</v>
      </c>
    </row>
    <row r="13" spans="1:3">
      <c r="B13" s="81" t="s">
        <v>273</v>
      </c>
    </row>
    <row r="14" spans="1:3">
      <c r="A14" s="38"/>
      <c r="B14" s="38" t="s">
        <v>259</v>
      </c>
      <c r="C14" s="42">
        <v>2.5</v>
      </c>
    </row>
    <row r="15" spans="1:3">
      <c r="A15" s="38"/>
      <c r="B15" s="38" t="s">
        <v>274</v>
      </c>
      <c r="C15" s="42">
        <v>1.75</v>
      </c>
    </row>
    <row r="16" spans="1:3">
      <c r="A16" s="38"/>
      <c r="B16" s="38" t="s">
        <v>275</v>
      </c>
      <c r="C16" s="42">
        <v>3.5</v>
      </c>
    </row>
  </sheetData>
  <conditionalFormatting sqref="C1">
    <cfRule type="expression" dxfId="5" priority="7">
      <formula>C$5="No"</formula>
    </cfRule>
  </conditionalFormatting>
  <conditionalFormatting sqref="C2">
    <cfRule type="expression" dxfId="4" priority="6">
      <formula>C$5="No"</formula>
    </cfRule>
  </conditionalFormatting>
  <conditionalFormatting sqref="C3">
    <cfRule type="expression" dxfId="3" priority="5">
      <formula>C$5="No"</formula>
    </cfRule>
  </conditionalFormatting>
  <conditionalFormatting sqref="C5:C11">
    <cfRule type="expression" dxfId="2" priority="3">
      <formula>C$5="No"</formula>
    </cfRule>
  </conditionalFormatting>
  <conditionalFormatting sqref="C12">
    <cfRule type="expression" dxfId="1" priority="2">
      <formula>C$5="No"</formula>
    </cfRule>
  </conditionalFormatting>
  <conditionalFormatting sqref="C14:C16">
    <cfRule type="expression" dxfId="0" priority="1">
      <formula>C$5="No"</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2"/>
  <dimension ref="A1:R69"/>
  <sheetViews>
    <sheetView workbookViewId="0">
      <selection activeCell="J15" sqref="J15"/>
    </sheetView>
  </sheetViews>
  <sheetFormatPr defaultRowHeight="12.75"/>
  <cols>
    <col min="1" max="1" width="14" customWidth="1"/>
  </cols>
  <sheetData>
    <row r="1" spans="1:18">
      <c r="A1" s="61" t="s">
        <v>168</v>
      </c>
      <c r="B1" s="61"/>
      <c r="G1" s="61" t="s">
        <v>124</v>
      </c>
      <c r="R1" s="61" t="s">
        <v>121</v>
      </c>
    </row>
    <row r="2" spans="1:18">
      <c r="A2" s="63" t="s">
        <v>164</v>
      </c>
      <c r="B2">
        <v>1625</v>
      </c>
      <c r="G2" s="3" t="s">
        <v>1</v>
      </c>
      <c r="K2" s="3" t="s">
        <v>2</v>
      </c>
    </row>
    <row r="3" spans="1:18">
      <c r="A3" s="63" t="s">
        <v>165</v>
      </c>
      <c r="B3">
        <v>1800</v>
      </c>
      <c r="G3" s="3" t="s">
        <v>4</v>
      </c>
      <c r="I3" s="3" t="s">
        <v>55</v>
      </c>
      <c r="R3" t="s">
        <v>1</v>
      </c>
    </row>
    <row r="4" spans="1:18">
      <c r="A4" s="63" t="s">
        <v>166</v>
      </c>
      <c r="B4">
        <v>1500</v>
      </c>
      <c r="G4">
        <v>1</v>
      </c>
      <c r="H4">
        <v>1</v>
      </c>
      <c r="I4">
        <v>1</v>
      </c>
      <c r="J4">
        <v>1</v>
      </c>
      <c r="K4">
        <v>1</v>
      </c>
      <c r="L4">
        <v>1</v>
      </c>
      <c r="R4" t="s">
        <v>2</v>
      </c>
    </row>
    <row r="5" spans="1:18">
      <c r="A5" s="63" t="s">
        <v>167</v>
      </c>
      <c r="B5">
        <v>1650</v>
      </c>
      <c r="G5">
        <v>2</v>
      </c>
      <c r="H5">
        <v>1.75</v>
      </c>
      <c r="I5">
        <v>2</v>
      </c>
      <c r="J5">
        <v>1.85</v>
      </c>
      <c r="K5">
        <v>2</v>
      </c>
      <c r="L5">
        <v>1.85</v>
      </c>
    </row>
    <row r="6" spans="1:18">
      <c r="A6" s="1"/>
      <c r="G6">
        <v>3</v>
      </c>
      <c r="H6">
        <v>2.4500000000000002</v>
      </c>
      <c r="I6">
        <v>3</v>
      </c>
      <c r="J6">
        <v>2.65</v>
      </c>
      <c r="K6">
        <v>3</v>
      </c>
      <c r="L6">
        <v>2</v>
      </c>
      <c r="R6" s="63" t="s">
        <v>34</v>
      </c>
    </row>
    <row r="7" spans="1:18">
      <c r="A7" s="1"/>
      <c r="G7">
        <v>4</v>
      </c>
      <c r="H7">
        <v>2.65</v>
      </c>
      <c r="I7">
        <v>4</v>
      </c>
      <c r="J7">
        <v>2.9</v>
      </c>
      <c r="K7">
        <v>4</v>
      </c>
      <c r="L7">
        <v>3.25</v>
      </c>
      <c r="R7" s="63" t="s">
        <v>223</v>
      </c>
    </row>
    <row r="8" spans="1:18">
      <c r="A8" s="1"/>
      <c r="G8">
        <v>5</v>
      </c>
      <c r="H8">
        <v>2.75</v>
      </c>
      <c r="I8">
        <v>5</v>
      </c>
      <c r="J8">
        <v>3</v>
      </c>
      <c r="K8">
        <v>5</v>
      </c>
      <c r="L8">
        <v>3.75</v>
      </c>
    </row>
    <row r="9" spans="1:18">
      <c r="A9" s="1"/>
      <c r="R9" s="3">
        <v>1</v>
      </c>
    </row>
    <row r="10" spans="1:18">
      <c r="A10" s="1"/>
      <c r="G10" s="61" t="s">
        <v>125</v>
      </c>
      <c r="R10" s="3">
        <v>2</v>
      </c>
    </row>
    <row r="11" spans="1:18">
      <c r="A11" s="1"/>
      <c r="G11">
        <v>1</v>
      </c>
      <c r="H11">
        <v>1</v>
      </c>
      <c r="I11">
        <v>1</v>
      </c>
      <c r="R11" s="3">
        <v>3</v>
      </c>
    </row>
    <row r="12" spans="1:18">
      <c r="A12" s="1"/>
      <c r="G12">
        <v>2</v>
      </c>
      <c r="H12">
        <v>0.6</v>
      </c>
      <c r="I12">
        <v>0.55000000000000004</v>
      </c>
    </row>
    <row r="13" spans="1:18">
      <c r="G13">
        <v>3</v>
      </c>
      <c r="H13">
        <v>0.45</v>
      </c>
      <c r="I13">
        <v>0.45</v>
      </c>
      <c r="R13" s="3" t="s">
        <v>52</v>
      </c>
    </row>
    <row r="14" spans="1:18">
      <c r="A14" s="61"/>
      <c r="G14">
        <v>4</v>
      </c>
      <c r="H14">
        <v>0.35</v>
      </c>
      <c r="I14">
        <v>0.35</v>
      </c>
      <c r="R14" s="3" t="s">
        <v>53</v>
      </c>
    </row>
    <row r="15" spans="1:18">
      <c r="G15">
        <v>6</v>
      </c>
      <c r="H15">
        <v>0.25</v>
      </c>
      <c r="I15">
        <v>0.25</v>
      </c>
    </row>
    <row r="16" spans="1:18">
      <c r="R16" s="3"/>
    </row>
    <row r="17" spans="1:18">
      <c r="G17" s="61" t="s">
        <v>86</v>
      </c>
      <c r="R17" s="3" t="s">
        <v>4</v>
      </c>
    </row>
    <row r="18" spans="1:18">
      <c r="G18">
        <v>1</v>
      </c>
      <c r="H18">
        <v>0</v>
      </c>
      <c r="R18" s="3" t="s">
        <v>55</v>
      </c>
    </row>
    <row r="19" spans="1:18">
      <c r="G19">
        <v>2</v>
      </c>
      <c r="H19">
        <v>2</v>
      </c>
      <c r="R19" s="3"/>
    </row>
    <row r="20" spans="1:18">
      <c r="G20">
        <v>3</v>
      </c>
      <c r="H20">
        <v>4</v>
      </c>
      <c r="R20" t="s">
        <v>104</v>
      </c>
    </row>
    <row r="21" spans="1:18">
      <c r="G21">
        <v>4</v>
      </c>
      <c r="H21">
        <v>6</v>
      </c>
      <c r="R21" t="s">
        <v>105</v>
      </c>
    </row>
    <row r="22" spans="1:18">
      <c r="G22">
        <v>5</v>
      </c>
      <c r="H22">
        <v>8</v>
      </c>
    </row>
    <row r="23" spans="1:18">
      <c r="R23" t="s">
        <v>106</v>
      </c>
    </row>
    <row r="24" spans="1:18">
      <c r="R24" t="s">
        <v>107</v>
      </c>
    </row>
    <row r="25" spans="1:18">
      <c r="R25" t="s">
        <v>109</v>
      </c>
    </row>
    <row r="27" spans="1:18">
      <c r="R27" t="s">
        <v>110</v>
      </c>
    </row>
    <row r="28" spans="1:18">
      <c r="A28" s="61" t="s">
        <v>122</v>
      </c>
      <c r="R28" t="s">
        <v>111</v>
      </c>
    </row>
    <row r="29" spans="1:18">
      <c r="A29" s="70" t="s">
        <v>3</v>
      </c>
      <c r="B29">
        <v>1</v>
      </c>
      <c r="C29">
        <v>2</v>
      </c>
      <c r="D29">
        <v>3</v>
      </c>
    </row>
    <row r="30" spans="1:18">
      <c r="A30" s="3" t="s">
        <v>28</v>
      </c>
      <c r="B30">
        <v>1</v>
      </c>
      <c r="C30">
        <v>0.9</v>
      </c>
      <c r="D30">
        <v>0</v>
      </c>
      <c r="G30" s="97" t="s">
        <v>115</v>
      </c>
      <c r="H30" s="97"/>
      <c r="I30" s="97"/>
      <c r="J30" s="97"/>
      <c r="K30" s="97"/>
      <c r="R30" s="63" t="s">
        <v>5</v>
      </c>
    </row>
    <row r="31" spans="1:18">
      <c r="A31" s="63" t="s">
        <v>29</v>
      </c>
      <c r="B31">
        <v>0.8</v>
      </c>
      <c r="C31">
        <v>0.5</v>
      </c>
      <c r="D31">
        <v>0</v>
      </c>
      <c r="G31" s="98" t="s">
        <v>100</v>
      </c>
      <c r="H31" s="98"/>
      <c r="I31" s="54" t="s">
        <v>101</v>
      </c>
      <c r="J31" s="54"/>
      <c r="K31" s="54"/>
      <c r="R31" s="63" t="s">
        <v>109</v>
      </c>
    </row>
    <row r="32" spans="1:18">
      <c r="A32" s="63" t="s">
        <v>132</v>
      </c>
      <c r="B32">
        <v>0.9</v>
      </c>
      <c r="C32">
        <v>0.7</v>
      </c>
      <c r="D32">
        <v>0</v>
      </c>
      <c r="G32" s="96">
        <v>0</v>
      </c>
      <c r="H32" s="96"/>
      <c r="I32" s="54">
        <v>1</v>
      </c>
      <c r="J32" s="54"/>
      <c r="K32" s="54"/>
      <c r="R32" s="63" t="s">
        <v>225</v>
      </c>
    </row>
    <row r="33" spans="1:18">
      <c r="A33" s="63" t="s">
        <v>131</v>
      </c>
      <c r="B33">
        <v>0.9</v>
      </c>
      <c r="C33">
        <v>0.7</v>
      </c>
      <c r="D33">
        <v>0</v>
      </c>
      <c r="G33" s="96">
        <v>0.5</v>
      </c>
      <c r="H33" s="96"/>
      <c r="I33" s="54">
        <v>0.97</v>
      </c>
      <c r="J33" s="53">
        <f>-1*(I33-I32)</f>
        <v>3.0000000000000027E-2</v>
      </c>
      <c r="K33" s="54"/>
    </row>
    <row r="34" spans="1:18">
      <c r="G34" s="96">
        <v>0.6</v>
      </c>
      <c r="H34" s="96"/>
      <c r="I34" s="52">
        <v>0.94</v>
      </c>
      <c r="J34" s="53">
        <f t="shared" ref="J34:J39" si="0">-1*(I34-I33)</f>
        <v>3.0000000000000027E-2</v>
      </c>
      <c r="K34" s="52"/>
      <c r="R34" s="63" t="s">
        <v>261</v>
      </c>
    </row>
    <row r="35" spans="1:18">
      <c r="A35" s="61" t="s">
        <v>123</v>
      </c>
      <c r="G35" s="96">
        <v>0.7</v>
      </c>
      <c r="H35" s="96"/>
      <c r="I35" s="52">
        <v>0.89</v>
      </c>
      <c r="J35" s="53">
        <f t="shared" si="0"/>
        <v>4.9999999999999933E-2</v>
      </c>
      <c r="K35" s="52"/>
      <c r="R35" s="63" t="s">
        <v>262</v>
      </c>
    </row>
    <row r="36" spans="1:18">
      <c r="A36" t="s">
        <v>4</v>
      </c>
      <c r="B36">
        <v>0.5</v>
      </c>
      <c r="G36" s="96">
        <v>0.8</v>
      </c>
      <c r="H36" s="96"/>
      <c r="I36" s="52">
        <v>0.81</v>
      </c>
      <c r="J36" s="53">
        <f t="shared" si="0"/>
        <v>7.999999999999996E-2</v>
      </c>
      <c r="K36" s="52"/>
      <c r="R36" s="3"/>
    </row>
    <row r="37" spans="1:18">
      <c r="A37" t="s">
        <v>5</v>
      </c>
      <c r="B37">
        <v>0.75</v>
      </c>
      <c r="G37" s="96">
        <v>0.9</v>
      </c>
      <c r="H37" s="96"/>
      <c r="I37" s="52">
        <v>0.69</v>
      </c>
      <c r="J37" s="53">
        <f t="shared" si="0"/>
        <v>0.12000000000000011</v>
      </c>
      <c r="K37" s="52"/>
      <c r="R37" s="3"/>
    </row>
    <row r="38" spans="1:18">
      <c r="A38" s="3" t="s">
        <v>55</v>
      </c>
      <c r="B38">
        <v>1</v>
      </c>
      <c r="G38" s="96">
        <v>1</v>
      </c>
      <c r="H38" s="96"/>
      <c r="I38" s="52">
        <v>0.52</v>
      </c>
      <c r="J38" s="53">
        <f t="shared" si="0"/>
        <v>0.16999999999999993</v>
      </c>
      <c r="K38" s="52"/>
    </row>
    <row r="39" spans="1:18">
      <c r="G39" s="96">
        <v>1.1000000000000001</v>
      </c>
      <c r="H39" s="96"/>
      <c r="I39" s="52">
        <v>0.35</v>
      </c>
      <c r="J39" s="53">
        <f t="shared" si="0"/>
        <v>0.17000000000000004</v>
      </c>
      <c r="K39" s="52"/>
      <c r="R39" s="63" t="s">
        <v>28</v>
      </c>
    </row>
    <row r="40" spans="1:18">
      <c r="A40" s="61" t="s">
        <v>126</v>
      </c>
      <c r="R40" s="63" t="s">
        <v>29</v>
      </c>
    </row>
    <row r="41" spans="1:18">
      <c r="C41" s="63" t="s">
        <v>228</v>
      </c>
      <c r="D41" s="63" t="s">
        <v>229</v>
      </c>
      <c r="E41" s="63" t="s">
        <v>230</v>
      </c>
      <c r="F41" s="63" t="s">
        <v>35</v>
      </c>
      <c r="R41" s="63" t="s">
        <v>132</v>
      </c>
    </row>
    <row r="42" spans="1:18">
      <c r="A42" s="63" t="s">
        <v>5</v>
      </c>
      <c r="C42">
        <v>1.2</v>
      </c>
      <c r="D42">
        <v>2</v>
      </c>
      <c r="E42">
        <v>2.75</v>
      </c>
      <c r="F42">
        <v>3</v>
      </c>
      <c r="G42" s="61"/>
      <c r="R42" s="63" t="s">
        <v>131</v>
      </c>
    </row>
    <row r="43" spans="1:18">
      <c r="A43" t="s">
        <v>109</v>
      </c>
      <c r="C43">
        <v>0.6</v>
      </c>
      <c r="D43">
        <v>1.4</v>
      </c>
      <c r="E43" t="e">
        <f>NA()</f>
        <v>#N/A</v>
      </c>
      <c r="F43" t="e">
        <f>NA()</f>
        <v>#N/A</v>
      </c>
    </row>
    <row r="44" spans="1:18">
      <c r="A44" s="63" t="s">
        <v>231</v>
      </c>
      <c r="C44">
        <v>1.75</v>
      </c>
      <c r="D44">
        <v>2.75</v>
      </c>
      <c r="E44">
        <v>3.25</v>
      </c>
      <c r="F44">
        <v>3.75</v>
      </c>
      <c r="R44" s="63" t="s">
        <v>164</v>
      </c>
    </row>
    <row r="45" spans="1:18">
      <c r="A45" s="63" t="s">
        <v>105</v>
      </c>
      <c r="C45">
        <v>0.7</v>
      </c>
      <c r="D45">
        <v>0.7</v>
      </c>
      <c r="E45" t="e">
        <f>NA()</f>
        <v>#N/A</v>
      </c>
      <c r="F45">
        <v>1</v>
      </c>
      <c r="R45" s="63" t="s">
        <v>165</v>
      </c>
    </row>
    <row r="46" spans="1:18">
      <c r="R46" s="63" t="s">
        <v>166</v>
      </c>
    </row>
    <row r="47" spans="1:18">
      <c r="R47" s="63" t="s">
        <v>167</v>
      </c>
    </row>
    <row r="49" spans="8:18">
      <c r="R49">
        <v>2</v>
      </c>
    </row>
    <row r="50" spans="8:18">
      <c r="R50">
        <v>3</v>
      </c>
    </row>
    <row r="51" spans="8:18">
      <c r="H51" s="3"/>
      <c r="I51" s="3"/>
      <c r="R51">
        <v>4</v>
      </c>
    </row>
    <row r="53" spans="8:18">
      <c r="R53" s="63" t="s">
        <v>226</v>
      </c>
    </row>
    <row r="54" spans="8:18">
      <c r="R54" s="63" t="s">
        <v>227</v>
      </c>
    </row>
    <row r="55" spans="8:18">
      <c r="R55" s="63" t="s">
        <v>224</v>
      </c>
    </row>
    <row r="56" spans="8:18">
      <c r="R56" s="63" t="s">
        <v>223</v>
      </c>
    </row>
    <row r="58" spans="8:18">
      <c r="R58" s="63" t="s">
        <v>245</v>
      </c>
    </row>
    <row r="59" spans="8:18">
      <c r="R59" s="63" t="s">
        <v>246</v>
      </c>
    </row>
    <row r="60" spans="8:18">
      <c r="R60" s="63" t="s">
        <v>247</v>
      </c>
    </row>
    <row r="61" spans="8:18">
      <c r="R61" s="63" t="s">
        <v>248</v>
      </c>
    </row>
    <row r="62" spans="8:18">
      <c r="R62" s="63" t="s">
        <v>249</v>
      </c>
    </row>
    <row r="63" spans="8:18">
      <c r="R63" s="63" t="s">
        <v>250</v>
      </c>
    </row>
    <row r="64" spans="8:18">
      <c r="R64" t="s">
        <v>244</v>
      </c>
    </row>
    <row r="65" spans="18:18">
      <c r="R65" s="63" t="s">
        <v>251</v>
      </c>
    </row>
    <row r="67" spans="18:18">
      <c r="R67" s="63" t="s">
        <v>254</v>
      </c>
    </row>
    <row r="68" spans="18:18">
      <c r="R68" s="63" t="s">
        <v>255</v>
      </c>
    </row>
    <row r="69" spans="18:18">
      <c r="R69" s="63" t="s">
        <v>256</v>
      </c>
    </row>
  </sheetData>
  <mergeCells count="10">
    <mergeCell ref="G38:H38"/>
    <mergeCell ref="G39:H39"/>
    <mergeCell ref="G34:H34"/>
    <mergeCell ref="G35:H35"/>
    <mergeCell ref="G30:K30"/>
    <mergeCell ref="G31:H31"/>
    <mergeCell ref="G32:H32"/>
    <mergeCell ref="G36:H36"/>
    <mergeCell ref="G37:H37"/>
    <mergeCell ref="G33:H33"/>
  </mergeCells>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dimension ref="A1:A6"/>
  <sheetViews>
    <sheetView workbookViewId="0"/>
  </sheetViews>
  <sheetFormatPr defaultRowHeight="12.75"/>
  <sheetData>
    <row r="1" spans="1:1">
      <c r="A1" s="61" t="s">
        <v>312</v>
      </c>
    </row>
    <row r="2" spans="1:1">
      <c r="A2" s="63" t="s">
        <v>313</v>
      </c>
    </row>
    <row r="3" spans="1:1">
      <c r="A3" s="63"/>
    </row>
    <row r="4" spans="1:1">
      <c r="A4" s="63"/>
    </row>
    <row r="5" spans="1:1">
      <c r="A5" s="63"/>
    </row>
    <row r="6" spans="1:1">
      <c r="A6" s="6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Step 0 - Dwell Time</vt:lpstr>
      <vt:lpstr>Step 1 - Capacity</vt:lpstr>
      <vt:lpstr>Step 2 - Skip-Stops</vt:lpstr>
      <vt:lpstr>Step 3 - Speed</vt:lpstr>
      <vt:lpstr>Default Values</vt:lpstr>
      <vt:lpstr>Lookup</vt:lpstr>
      <vt:lpstr>Revision History</vt:lpstr>
      <vt:lpstr>BusStopLocationFactors</vt:lpstr>
      <vt:lpstr>CriticalHeadway</vt:lpstr>
      <vt:lpstr>FollowUpTime</vt:lpstr>
      <vt:lpstr>SatFlowRates</vt:lpstr>
      <vt:lpstr>StartUpTime</vt:lpstr>
      <vt:lpstr>StopLocation</vt:lpstr>
    </vt:vector>
  </TitlesOfParts>
  <Company>KAI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Ryus</dc:creator>
  <cp:lastModifiedBy>Hitchcock, Scott</cp:lastModifiedBy>
  <cp:lastPrinted>2001-09-27T16:57:45Z</cp:lastPrinted>
  <dcterms:created xsi:type="dcterms:W3CDTF">2001-09-20T22:03:04Z</dcterms:created>
  <dcterms:modified xsi:type="dcterms:W3CDTF">2013-04-11T14:39:27Z</dcterms:modified>
</cp:coreProperties>
</file>