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tefan\Soundcast_feb_twg\output_templates\"/>
    </mc:Choice>
  </mc:AlternateContent>
  <bookViews>
    <workbookView xWindow="480" yWindow="315" windowWidth="19980" windowHeight="7530" activeTab="4"/>
  </bookViews>
  <sheets>
    <sheet name="Compare Total" sheetId="14" r:id="rId1"/>
    <sheet name="Comparison Charts" sheetId="12" r:id="rId2"/>
    <sheet name="Baseline Metrics" sheetId="1" r:id="rId3"/>
    <sheet name="Scenario Metrics" sheetId="9" r:id="rId4"/>
    <sheet name="BaselineScenario" sheetId="13" r:id="rId5"/>
    <sheet name="Difference" sheetId="10" r:id="rId6"/>
    <sheet name="HeatResults" sheetId="6" r:id="rId7"/>
    <sheet name="RawBaseline" sheetId="4" r:id="rId8"/>
    <sheet name="RawScenario" sheetId="5" r:id="rId9"/>
    <sheet name="Baseline Charts" sheetId="7" r:id="rId10"/>
    <sheet name="Scenario Charts" sheetId="11" r:id="rId11"/>
  </sheets>
  <calcPr calcId="171027"/>
</workbook>
</file>

<file path=xl/calcChain.xml><?xml version="1.0" encoding="utf-8"?>
<calcChain xmlns="http://schemas.openxmlformats.org/spreadsheetml/2006/main">
  <c r="M9" i="10" l="1"/>
  <c r="N24" i="9" l="1"/>
  <c r="C21" i="13" l="1"/>
  <c r="H21" i="13" s="1"/>
  <c r="C20" i="13"/>
  <c r="H20" i="13" s="1"/>
  <c r="C19" i="13"/>
  <c r="H19" i="13" s="1"/>
  <c r="C15" i="13"/>
  <c r="H15" i="13" s="1"/>
  <c r="C14" i="13"/>
  <c r="H14" i="13" s="1"/>
  <c r="C13" i="13"/>
  <c r="H13" i="13" s="1"/>
  <c r="C12" i="13"/>
  <c r="H12" i="13" s="1"/>
  <c r="C11" i="13"/>
  <c r="H11" i="13" s="1"/>
  <c r="C7" i="13"/>
  <c r="H7" i="13" s="1"/>
  <c r="C6" i="13"/>
  <c r="H6" i="13" s="1"/>
  <c r="C5" i="13"/>
  <c r="H5" i="13" s="1"/>
  <c r="C4" i="13"/>
  <c r="H4" i="13" s="1"/>
  <c r="C3" i="13"/>
  <c r="H3" i="13" s="1"/>
  <c r="N9" i="10"/>
  <c r="O15" i="9"/>
  <c r="M15" i="9"/>
  <c r="F20" i="9"/>
  <c r="F19" i="9"/>
  <c r="F18" i="9"/>
  <c r="F17" i="9"/>
  <c r="F16" i="9"/>
  <c r="F15" i="9"/>
  <c r="E20" i="9"/>
  <c r="E19" i="9"/>
  <c r="E18" i="9"/>
  <c r="E17" i="9"/>
  <c r="E16" i="9"/>
  <c r="E15" i="9"/>
  <c r="D20" i="9"/>
  <c r="D19" i="9"/>
  <c r="D18" i="9"/>
  <c r="D17" i="9"/>
  <c r="D16" i="9"/>
  <c r="D15" i="9"/>
  <c r="F20" i="1"/>
  <c r="F19" i="1"/>
  <c r="F18" i="1"/>
  <c r="F17" i="1"/>
  <c r="F16" i="1"/>
  <c r="F15" i="1"/>
  <c r="E20" i="1"/>
  <c r="E19" i="1"/>
  <c r="E18" i="1"/>
  <c r="E17" i="1"/>
  <c r="E16" i="1"/>
  <c r="E15" i="1"/>
  <c r="D20" i="1"/>
  <c r="D19" i="1"/>
  <c r="D18" i="1"/>
  <c r="D17" i="1"/>
  <c r="D16" i="1"/>
  <c r="D15" i="1"/>
  <c r="C40" i="9"/>
  <c r="C39" i="9"/>
  <c r="C38" i="9"/>
  <c r="C48" i="9"/>
  <c r="C47" i="9"/>
  <c r="C46" i="9"/>
  <c r="C45" i="9"/>
  <c r="C44" i="9"/>
  <c r="C20" i="9"/>
  <c r="C19" i="9"/>
  <c r="C18" i="9"/>
  <c r="C17" i="9"/>
  <c r="C16" i="9"/>
  <c r="C15" i="9"/>
  <c r="C20" i="1"/>
  <c r="C19" i="1"/>
  <c r="C18" i="1"/>
  <c r="C17" i="1"/>
  <c r="C16" i="1"/>
  <c r="C15" i="1"/>
  <c r="T6" i="6" l="1"/>
  <c r="T5" i="6"/>
  <c r="S8" i="6"/>
  <c r="R8" i="6"/>
  <c r="S7" i="6"/>
  <c r="R7" i="6"/>
  <c r="T7" i="6" s="1"/>
  <c r="F33" i="10"/>
  <c r="E33" i="10"/>
  <c r="F31" i="10"/>
  <c r="E31" i="10"/>
  <c r="P26" i="10"/>
  <c r="P25" i="10"/>
  <c r="O25" i="10"/>
  <c r="E44" i="9"/>
  <c r="D27" i="9"/>
  <c r="C27" i="9"/>
  <c r="D26" i="9"/>
  <c r="C26" i="9"/>
  <c r="F25" i="9"/>
  <c r="D25" i="9"/>
  <c r="D24" i="9"/>
  <c r="C24" i="9"/>
  <c r="C8" i="9"/>
  <c r="C7" i="9"/>
  <c r="T8" i="6" l="1"/>
  <c r="D40" i="10"/>
  <c r="E48" i="9"/>
  <c r="E47" i="9"/>
  <c r="E46" i="9"/>
  <c r="E45" i="9"/>
  <c r="D40" i="9"/>
  <c r="E40" i="9"/>
  <c r="E39" i="9"/>
  <c r="E38" i="9"/>
  <c r="D32" i="9"/>
  <c r="P27" i="9"/>
  <c r="O27" i="9"/>
  <c r="M27" i="9"/>
  <c r="F27" i="9"/>
  <c r="M8" i="9" s="1"/>
  <c r="N8" i="9" s="1"/>
  <c r="N26" i="9"/>
  <c r="F26" i="9"/>
  <c r="M7" i="9" s="1"/>
  <c r="N7" i="9" s="1"/>
  <c r="N25" i="9"/>
  <c r="C25" i="9"/>
  <c r="P24" i="9"/>
  <c r="O24" i="9"/>
  <c r="M24" i="9"/>
  <c r="N20" i="9"/>
  <c r="M20" i="9"/>
  <c r="D34" i="9"/>
  <c r="C34" i="9"/>
  <c r="P20" i="9"/>
  <c r="J20" i="9"/>
  <c r="P19" i="9"/>
  <c r="J19" i="9"/>
  <c r="H19" i="9"/>
  <c r="C32" i="9"/>
  <c r="N19" i="9"/>
  <c r="O19" i="9"/>
  <c r="M18" i="9"/>
  <c r="J18" i="9"/>
  <c r="H18" i="9"/>
  <c r="P18" i="9"/>
  <c r="O18" i="9"/>
  <c r="N17" i="9"/>
  <c r="H17" i="9"/>
  <c r="G17" i="9"/>
  <c r="P17" i="9"/>
  <c r="M17" i="9"/>
  <c r="M16" i="9"/>
  <c r="J16" i="9"/>
  <c r="G16" i="9"/>
  <c r="H16" i="9"/>
  <c r="P16" i="9"/>
  <c r="O16" i="9"/>
  <c r="J15" i="9"/>
  <c r="H15" i="9"/>
  <c r="G15" i="9"/>
  <c r="P15" i="9"/>
  <c r="N18" i="9"/>
  <c r="G18" i="9"/>
  <c r="M6" i="9"/>
  <c r="N6" i="9" s="1"/>
  <c r="C48" i="1"/>
  <c r="C47" i="1"/>
  <c r="C46" i="1"/>
  <c r="B5" i="13" s="1"/>
  <c r="C45" i="1"/>
  <c r="C44" i="1"/>
  <c r="D40" i="1"/>
  <c r="C40" i="1"/>
  <c r="C39" i="1"/>
  <c r="C38" i="1"/>
  <c r="D27" i="1"/>
  <c r="D27" i="10" s="1"/>
  <c r="C27" i="1"/>
  <c r="F27" i="1" s="1"/>
  <c r="M8" i="1" s="1"/>
  <c r="D26" i="1"/>
  <c r="D26" i="10" s="1"/>
  <c r="C26" i="1"/>
  <c r="C26" i="10" s="1"/>
  <c r="D25" i="1"/>
  <c r="D25" i="10" s="1"/>
  <c r="F25" i="1"/>
  <c r="C25" i="1" s="1"/>
  <c r="D24" i="1"/>
  <c r="D24" i="10" s="1"/>
  <c r="C24" i="1"/>
  <c r="F24" i="1" s="1"/>
  <c r="M5" i="1" s="1"/>
  <c r="E39" i="1" l="1"/>
  <c r="B20" i="13"/>
  <c r="C40" i="10"/>
  <c r="E40" i="10" s="1"/>
  <c r="B21" i="13"/>
  <c r="E44" i="1"/>
  <c r="B11" i="13" s="1"/>
  <c r="B3" i="13"/>
  <c r="E45" i="1"/>
  <c r="B12" i="13" s="1"/>
  <c r="B4" i="13"/>
  <c r="D5" i="13"/>
  <c r="E47" i="1"/>
  <c r="B14" i="13" s="1"/>
  <c r="B6" i="13"/>
  <c r="E38" i="1"/>
  <c r="B19" i="13"/>
  <c r="E48" i="1"/>
  <c r="B15" i="13" s="1"/>
  <c r="B7" i="13"/>
  <c r="F25" i="10"/>
  <c r="M6" i="10" s="1"/>
  <c r="C45" i="10"/>
  <c r="E45" i="10" s="1"/>
  <c r="F32" i="9"/>
  <c r="E46" i="1"/>
  <c r="B13" i="13" s="1"/>
  <c r="C46" i="10"/>
  <c r="E46" i="10" s="1"/>
  <c r="C44" i="10"/>
  <c r="E44" i="10" s="1"/>
  <c r="C24" i="10"/>
  <c r="F24" i="10" s="1"/>
  <c r="M5" i="10" s="1"/>
  <c r="D31" i="9"/>
  <c r="C38" i="10"/>
  <c r="E38" i="10" s="1"/>
  <c r="C48" i="10"/>
  <c r="E48" i="10" s="1"/>
  <c r="D33" i="9"/>
  <c r="C39" i="10"/>
  <c r="E39" i="10" s="1"/>
  <c r="C27" i="10"/>
  <c r="F27" i="10" s="1"/>
  <c r="M8" i="10" s="1"/>
  <c r="C31" i="9"/>
  <c r="M25" i="9"/>
  <c r="C25" i="10"/>
  <c r="C47" i="10"/>
  <c r="E47" i="10" s="1"/>
  <c r="M10" i="9"/>
  <c r="N10" i="9" s="1"/>
  <c r="F26" i="10"/>
  <c r="M7" i="10" s="1"/>
  <c r="M11" i="9"/>
  <c r="N11" i="9" s="1"/>
  <c r="N15" i="9"/>
  <c r="M26" i="9"/>
  <c r="N16" i="9"/>
  <c r="M19" i="9"/>
  <c r="G20" i="9"/>
  <c r="O26" i="9"/>
  <c r="O17" i="9"/>
  <c r="N27" i="9"/>
  <c r="J17" i="9"/>
  <c r="M4" i="9" s="1"/>
  <c r="N4" i="9" s="1"/>
  <c r="H20" i="9"/>
  <c r="F24" i="9"/>
  <c r="M5" i="9" s="1"/>
  <c r="N5" i="9" s="1"/>
  <c r="G19" i="9"/>
  <c r="O20" i="9"/>
  <c r="M11" i="1"/>
  <c r="M6" i="1"/>
  <c r="E40" i="1"/>
  <c r="M10" i="1" s="1"/>
  <c r="F26" i="1"/>
  <c r="M7" i="1" s="1"/>
  <c r="F18" i="10"/>
  <c r="F17" i="10"/>
  <c r="F16" i="10"/>
  <c r="F15" i="10"/>
  <c r="E17" i="10"/>
  <c r="E16" i="10"/>
  <c r="E15" i="10"/>
  <c r="D20" i="10"/>
  <c r="D19" i="10"/>
  <c r="D18" i="10"/>
  <c r="D17" i="10"/>
  <c r="D16" i="10"/>
  <c r="D15" i="10"/>
  <c r="C15" i="10"/>
  <c r="J15" i="10" s="1"/>
  <c r="C20" i="10"/>
  <c r="J20" i="10" s="1"/>
  <c r="C19" i="10"/>
  <c r="J19" i="10" s="1"/>
  <c r="C18" i="10"/>
  <c r="J18" i="10" s="1"/>
  <c r="C17" i="10"/>
  <c r="J17" i="10" s="1"/>
  <c r="C16" i="10"/>
  <c r="J16" i="10" s="1"/>
  <c r="C8" i="1"/>
  <c r="C7" i="1"/>
  <c r="G5" i="13" s="1"/>
  <c r="I5" i="13" s="1"/>
  <c r="G7" i="13" l="1"/>
  <c r="I7" i="13" s="1"/>
  <c r="D7" i="13"/>
  <c r="D4" i="13"/>
  <c r="G4" i="13"/>
  <c r="I4" i="13" s="1"/>
  <c r="G15" i="13"/>
  <c r="D15" i="13"/>
  <c r="I15" i="13" s="1"/>
  <c r="G12" i="13"/>
  <c r="D12" i="13"/>
  <c r="I12" i="13" s="1"/>
  <c r="G19" i="13"/>
  <c r="I19" i="13" s="1"/>
  <c r="D19" i="13"/>
  <c r="G3" i="13"/>
  <c r="I3" i="13" s="1"/>
  <c r="D3" i="13"/>
  <c r="G13" i="13"/>
  <c r="D13" i="13"/>
  <c r="I13" i="13" s="1"/>
  <c r="G11" i="13"/>
  <c r="D11" i="13"/>
  <c r="I11" i="13" s="1"/>
  <c r="D6" i="13"/>
  <c r="G6" i="13"/>
  <c r="I6" i="13" s="1"/>
  <c r="G21" i="13"/>
  <c r="I21" i="13" s="1"/>
  <c r="D21" i="13"/>
  <c r="D14" i="13"/>
  <c r="I14" i="13" s="1"/>
  <c r="G14" i="13"/>
  <c r="G20" i="13"/>
  <c r="I20" i="13" s="1"/>
  <c r="D20" i="13"/>
  <c r="M10" i="10"/>
  <c r="M4" i="10"/>
  <c r="M11" i="10"/>
  <c r="N5" i="1"/>
  <c r="N5" i="10" s="1"/>
  <c r="C7" i="10"/>
  <c r="D32" i="1"/>
  <c r="D32" i="10" s="1"/>
  <c r="F19" i="10"/>
  <c r="N25" i="1"/>
  <c r="N25" i="10" s="1"/>
  <c r="C8" i="10"/>
  <c r="O26" i="1"/>
  <c r="O26" i="10" s="1"/>
  <c r="E18" i="10"/>
  <c r="D34" i="1"/>
  <c r="D34" i="10" s="1"/>
  <c r="F20" i="10"/>
  <c r="F34" i="9"/>
  <c r="C32" i="1"/>
  <c r="C32" i="10" s="1"/>
  <c r="E19" i="10"/>
  <c r="C34" i="1"/>
  <c r="C34" i="10" s="1"/>
  <c r="E20" i="10"/>
  <c r="E32" i="9"/>
  <c r="C6" i="9"/>
  <c r="C33" i="9"/>
  <c r="E34" i="9"/>
  <c r="C3" i="9"/>
  <c r="M25" i="1"/>
  <c r="M25" i="10" s="1"/>
  <c r="N8" i="1"/>
  <c r="N8" i="10" s="1"/>
  <c r="N7" i="1"/>
  <c r="N7" i="10" s="1"/>
  <c r="N10" i="1"/>
  <c r="N10" i="10" s="1"/>
  <c r="N6" i="1"/>
  <c r="N6" i="10" s="1"/>
  <c r="N11" i="1"/>
  <c r="N11" i="10" s="1"/>
  <c r="M26" i="1"/>
  <c r="M26" i="10" s="1"/>
  <c r="G16" i="1"/>
  <c r="G16" i="10" s="1"/>
  <c r="P27" i="1"/>
  <c r="P27" i="10" s="1"/>
  <c r="P24" i="1"/>
  <c r="P24" i="10" s="1"/>
  <c r="O24" i="1"/>
  <c r="O24" i="10" s="1"/>
  <c r="O27" i="1"/>
  <c r="O27" i="10" s="1"/>
  <c r="H15" i="1"/>
  <c r="H15" i="10" s="1"/>
  <c r="P20" i="1"/>
  <c r="O20" i="1"/>
  <c r="C33" i="1" s="1"/>
  <c r="M24" i="1"/>
  <c r="M24" i="10" s="1"/>
  <c r="H16" i="1"/>
  <c r="H16" i="10" s="1"/>
  <c r="N27" i="1"/>
  <c r="N27" i="10" s="1"/>
  <c r="N26" i="1"/>
  <c r="N26" i="10" s="1"/>
  <c r="H17" i="1"/>
  <c r="H17" i="10" s="1"/>
  <c r="N24" i="1"/>
  <c r="N24" i="10" s="1"/>
  <c r="N15" i="1"/>
  <c r="N15" i="10" s="1"/>
  <c r="H20" i="1"/>
  <c r="F34" i="1" s="1"/>
  <c r="H18" i="1"/>
  <c r="H18" i="10" s="1"/>
  <c r="N19" i="1"/>
  <c r="N19" i="10" s="1"/>
  <c r="N16" i="1"/>
  <c r="N16" i="10" s="1"/>
  <c r="H19" i="1"/>
  <c r="G17" i="1"/>
  <c r="G17" i="10" s="1"/>
  <c r="O17" i="1"/>
  <c r="O17" i="10" s="1"/>
  <c r="N18" i="1"/>
  <c r="N18" i="10" s="1"/>
  <c r="G20" i="1"/>
  <c r="E34" i="1" s="1"/>
  <c r="O18" i="1"/>
  <c r="O18" i="10" s="1"/>
  <c r="P19" i="1"/>
  <c r="G15" i="1"/>
  <c r="G15" i="10" s="1"/>
  <c r="P17" i="1"/>
  <c r="P17" i="10" s="1"/>
  <c r="G18" i="1"/>
  <c r="G18" i="10" s="1"/>
  <c r="O16" i="1"/>
  <c r="O16" i="10" s="1"/>
  <c r="N17" i="1"/>
  <c r="N17" i="10" s="1"/>
  <c r="O19" i="1"/>
  <c r="G19" i="1"/>
  <c r="E32" i="1" s="1"/>
  <c r="P18" i="1"/>
  <c r="P18" i="10" s="1"/>
  <c r="O15" i="1"/>
  <c r="O15" i="10" s="1"/>
  <c r="P15" i="1"/>
  <c r="P15" i="10" s="1"/>
  <c r="N20" i="1"/>
  <c r="N20" i="10" s="1"/>
  <c r="P16" i="1"/>
  <c r="P16" i="10" s="1"/>
  <c r="M15" i="1"/>
  <c r="M15" i="10" s="1"/>
  <c r="M16" i="1"/>
  <c r="M16" i="10" s="1"/>
  <c r="M17" i="1"/>
  <c r="M17" i="10" s="1"/>
  <c r="M18" i="1"/>
  <c r="M18" i="10" s="1"/>
  <c r="M19" i="1"/>
  <c r="M19" i="10" s="1"/>
  <c r="M20" i="1"/>
  <c r="M20" i="10" s="1"/>
  <c r="H20" i="10" l="1"/>
  <c r="D33" i="1"/>
  <c r="D33" i="10" s="1"/>
  <c r="P20" i="10"/>
  <c r="G20" i="10"/>
  <c r="F34" i="10"/>
  <c r="E34" i="10"/>
  <c r="O20" i="10"/>
  <c r="G19" i="10"/>
  <c r="C31" i="1"/>
  <c r="C31" i="10" s="1"/>
  <c r="O19" i="10"/>
  <c r="C33" i="10"/>
  <c r="E32" i="10"/>
  <c r="F32" i="1"/>
  <c r="F32" i="10" s="1"/>
  <c r="H19" i="10"/>
  <c r="D31" i="1"/>
  <c r="D31" i="10" s="1"/>
  <c r="P19" i="10"/>
  <c r="C4" i="9"/>
  <c r="M27" i="1"/>
  <c r="M27" i="10" s="1"/>
  <c r="C6" i="1"/>
  <c r="C6" i="10" s="1"/>
  <c r="J19" i="1"/>
  <c r="J18" i="1"/>
  <c r="J20" i="1"/>
  <c r="J16" i="1"/>
  <c r="J17" i="1"/>
  <c r="J15" i="1"/>
  <c r="C3" i="1" s="1"/>
  <c r="M4" i="1" l="1"/>
  <c r="N4" i="1" s="1"/>
  <c r="N4" i="10" s="1"/>
  <c r="C4" i="1" l="1"/>
  <c r="C4" i="10" s="1"/>
  <c r="C10" i="10" s="1"/>
  <c r="C3" i="10"/>
</calcChain>
</file>

<file path=xl/sharedStrings.xml><?xml version="1.0" encoding="utf-8"?>
<sst xmlns="http://schemas.openxmlformats.org/spreadsheetml/2006/main" count="566" uniqueCount="172">
  <si>
    <t xml:space="preserve">Toll and Auto Operating Cost </t>
  </si>
  <si>
    <t>Total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</si>
  <si>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</si>
  <si>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</si>
  <si>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</si>
  <si>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</si>
  <si>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</si>
  <si>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</si>
  <si>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</si>
  <si>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</si>
  <si>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</si>
  <si>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</si>
  <si>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</si>
  <si>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</si>
  <si>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</si>
  <si>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</si>
  <si>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</si>
  <si>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</si>
  <si>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Active Transport Measures</t>
  </si>
  <si>
    <t>Truck Costs</t>
  </si>
  <si>
    <t>Safety Measures</t>
  </si>
  <si>
    <t>Baseline Metrics</t>
  </si>
  <si>
    <t>Autos Owned</t>
  </si>
  <si>
    <t>Value</t>
  </si>
  <si>
    <t>Auto Ownership Costs</t>
  </si>
  <si>
    <t>Measure</t>
  </si>
  <si>
    <t>Average Time Biked per Biker</t>
  </si>
  <si>
    <t>Car</t>
  </si>
  <si>
    <t>Heavy Truck</t>
  </si>
  <si>
    <t>Light Truck</t>
  </si>
  <si>
    <t>Medium Truck</t>
  </si>
  <si>
    <t>Carbon Dioxide</t>
  </si>
  <si>
    <t>Carbon Monoxide</t>
  </si>
  <si>
    <t>Nitrogen Oxide</t>
  </si>
  <si>
    <t>Particulate Matter</t>
  </si>
  <si>
    <t>Volatile Organic Compound</t>
  </si>
  <si>
    <t>Car VMT</t>
  </si>
  <si>
    <t>Truck VMT</t>
  </si>
  <si>
    <t>Functional Class</t>
  </si>
  <si>
    <t>Property Damage Rate</t>
  </si>
  <si>
    <t>Injury Rate</t>
  </si>
  <si>
    <t>Fatality Rate</t>
  </si>
  <si>
    <t>VMT</t>
  </si>
  <si>
    <t>Property Damage Total</t>
  </si>
  <si>
    <t>Injury Total</t>
  </si>
  <si>
    <t>Fatality Total</t>
  </si>
  <si>
    <t>Property Damage Cost</t>
  </si>
  <si>
    <t>Injury Cost</t>
  </si>
  <si>
    <t>Fatality Cost</t>
  </si>
  <si>
    <t>per Low Income Person</t>
  </si>
  <si>
    <t>Average Walking Time per Walker (minutes)</t>
  </si>
  <si>
    <t>Travel Time</t>
  </si>
  <si>
    <t xml:space="preserve"> Household Low-Income Time</t>
  </si>
  <si>
    <t>Total Household Costs</t>
  </si>
  <si>
    <t>Total Household Time Impedances</t>
  </si>
  <si>
    <t>Total Low Income Household Costs</t>
  </si>
  <si>
    <t>mode</t>
  </si>
  <si>
    <t>Bike</t>
  </si>
  <si>
    <t>HOV2</t>
  </si>
  <si>
    <t>HOV3+</t>
  </si>
  <si>
    <t>SOV</t>
  </si>
  <si>
    <t>School Bus</t>
  </si>
  <si>
    <t>Transit</t>
  </si>
  <si>
    <t>Walk</t>
  </si>
  <si>
    <t>Auto Ownership Costs Low Income</t>
  </si>
  <si>
    <t>Parking Costs Low Income</t>
  </si>
  <si>
    <t>minutes per hour</t>
  </si>
  <si>
    <t>Low Income Population</t>
  </si>
  <si>
    <t>Transit Costs</t>
  </si>
  <si>
    <t>per Mode User</t>
  </si>
  <si>
    <t>per Low Income Mode User</t>
  </si>
  <si>
    <t>Air Quality Measures</t>
  </si>
  <si>
    <t>% of Population</t>
  </si>
  <si>
    <t>% of Low Income Population</t>
  </si>
  <si>
    <t>Number of Mode Users</t>
  </si>
  <si>
    <t>Low Income People</t>
  </si>
  <si>
    <t>Total People</t>
  </si>
  <si>
    <t>Users</t>
  </si>
  <si>
    <t>Average Time Biked per Low Income Biker</t>
  </si>
  <si>
    <t>Total Number of Low INcome Bikers</t>
  </si>
  <si>
    <t>Number of Low Income Mode Users</t>
  </si>
  <si>
    <t>BCAT</t>
  </si>
  <si>
    <t>Benefit-Cost Analysis Tool</t>
  </si>
  <si>
    <t>Already $</t>
  </si>
  <si>
    <t>Transit Fares</t>
  </si>
  <si>
    <t>Total Time Traveling per Person</t>
  </si>
  <si>
    <r>
      <t>Household</t>
    </r>
    <r>
      <rPr>
        <b/>
        <sz val="10"/>
        <color rgb="FFFF0000"/>
        <rFont val="Cambria"/>
        <family val="1"/>
      </rPr>
      <t xml:space="preserve"> Time</t>
    </r>
    <r>
      <rPr>
        <b/>
        <sz val="10"/>
        <color theme="1"/>
        <rFont val="Cambria"/>
        <family val="1"/>
      </rPr>
      <t xml:space="preserve"> 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</si>
  <si>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Time </t>
    </r>
    <r>
      <rPr>
        <b/>
        <sz val="10"/>
        <color theme="1"/>
        <rFont val="Cambria"/>
        <family val="1"/>
      </rPr>
      <t>Measures</t>
    </r>
  </si>
  <si>
    <r>
      <t xml:space="preserve">Household </t>
    </r>
    <r>
      <rPr>
        <b/>
        <sz val="10"/>
        <color rgb="FFFF0000"/>
        <rFont val="Cambria"/>
        <family val="1"/>
      </rPr>
      <t xml:space="preserve">Cost </t>
    </r>
    <r>
      <rPr>
        <b/>
        <sz val="10"/>
        <color theme="1"/>
        <rFont val="Cambria"/>
        <family val="1"/>
      </rPr>
      <t>Measures</t>
    </r>
  </si>
  <si>
    <t xml:space="preserve">per Person </t>
  </si>
  <si>
    <t>Baseline Sum of Cost per Person</t>
  </si>
  <si>
    <t>Percent of Population Using Mode</t>
  </si>
  <si>
    <t>Percent of Low Income Population Using Mode</t>
  </si>
  <si>
    <t>Costs by Type</t>
  </si>
  <si>
    <t>Parking</t>
  </si>
  <si>
    <t>Health</t>
  </si>
  <si>
    <t>Auto Operating and Tolls</t>
  </si>
  <si>
    <t>Safety</t>
  </si>
  <si>
    <t>Air Quality</t>
  </si>
  <si>
    <t>Total Value</t>
  </si>
  <si>
    <t>Value per Person</t>
  </si>
  <si>
    <t>Auto Ownership</t>
  </si>
  <si>
    <t>Baseline Daily Sum of Costs</t>
  </si>
  <si>
    <t>minutes</t>
  </si>
  <si>
    <t>Table 1. Overall Values</t>
  </si>
  <si>
    <t xml:space="preserve"> Table 3. Total Time Spent by Mode</t>
  </si>
  <si>
    <t xml:space="preserve"> Table 2. Total Costs by Type</t>
  </si>
  <si>
    <t xml:space="preserve"> Table 4. Time Spent by Mode per Person</t>
  </si>
  <si>
    <t xml:space="preserve"> Table 5. Total Out of Pocket Costs</t>
  </si>
  <si>
    <t xml:space="preserve"> Table 6. Out of Pocket Costs per Person</t>
  </si>
  <si>
    <t xml:space="preserve"> Table 7. Active Transport Measures</t>
  </si>
  <si>
    <t xml:space="preserve"> Table 8. Safety Measures</t>
  </si>
  <si>
    <t>Table  10. Commercial Costs</t>
  </si>
  <si>
    <t xml:space="preserve"> Table 9. Air Quality Measures</t>
  </si>
  <si>
    <t>Total Hours</t>
  </si>
  <si>
    <t>Low Income Total Hours</t>
  </si>
  <si>
    <t>minutes per Person</t>
  </si>
  <si>
    <t>minutes per Low Income Person</t>
  </si>
  <si>
    <t>minutes per Mode User</t>
  </si>
  <si>
    <t>minutes per Low Income Mode User</t>
  </si>
  <si>
    <t>Scenario Metrics</t>
  </si>
  <si>
    <t>Scenario Daily Sum of Costs</t>
  </si>
  <si>
    <t>Scenario Sum of Cost per Person</t>
  </si>
  <si>
    <t>Description</t>
  </si>
  <si>
    <t>Only Used As a Difference</t>
  </si>
  <si>
    <r>
      <t xml:space="preserve">Difference Charts: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</si>
  <si>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r>
      <t xml:space="preserve">Difference in Values: Scenario - Baseline                        </t>
    </r>
    <r>
      <rPr>
        <b/>
        <sz val="12"/>
        <color rgb="FFFF0000"/>
        <rFont val="Cambria"/>
        <family val="1"/>
      </rPr>
      <t>(Positive numbers mean the scenario has more than the baseline.)</t>
    </r>
  </si>
  <si>
    <t>Baseline Charts</t>
  </si>
  <si>
    <t>Household Cost Measures</t>
  </si>
  <si>
    <r>
      <t xml:space="preserve">Household </t>
    </r>
    <r>
      <rPr>
        <b/>
        <sz val="10"/>
        <color rgb="FFFF0000"/>
        <rFont val="Cambria"/>
        <family val="1"/>
      </rPr>
      <t>Cost</t>
    </r>
    <r>
      <rPr>
        <b/>
        <sz val="10"/>
        <color theme="1"/>
        <rFont val="Cambria"/>
        <family val="1"/>
      </rPr>
      <t xml:space="preserve"> Measures</t>
    </r>
  </si>
  <si>
    <t>Health Economic Assessment Tool</t>
  </si>
  <si>
    <t>http://www.heatwalkingcycling.org/</t>
  </si>
  <si>
    <t>Walking</t>
  </si>
  <si>
    <t>Cycling</t>
  </si>
  <si>
    <t>Annual Deaths Prevented</t>
  </si>
  <si>
    <t>Value of Deaths prevented</t>
  </si>
  <si>
    <t>Average Daily Deaths Prevented</t>
  </si>
  <si>
    <t>Daily Factor</t>
  </si>
  <si>
    <t>Health Benefits</t>
  </si>
  <si>
    <t>Sum</t>
  </si>
  <si>
    <t>Instructions: Run the HEAT on the baseline and the scenario for walking and biking.  Then enter the  values resulting from heat in the cells in the table above.</t>
  </si>
  <si>
    <t>N\A</t>
  </si>
  <si>
    <t>Average Time Walked per Low Income Walker or Person Walking to Transit</t>
  </si>
  <si>
    <t>Average Time Walked per Walker or Person Walking to Transit</t>
  </si>
  <si>
    <t>Total Number of Low Income Walkers or People Walking to Transit</t>
  </si>
  <si>
    <t>Total Number of Walkers or People Walking to Transit</t>
  </si>
  <si>
    <t>2040 Population with 2014 network</t>
  </si>
  <si>
    <t>2014 Base</t>
  </si>
  <si>
    <t>Baseline</t>
  </si>
  <si>
    <t>Scenario</t>
  </si>
  <si>
    <t>Difference</t>
  </si>
  <si>
    <t>CO2 ($)</t>
  </si>
  <si>
    <t>CO ($)</t>
  </si>
  <si>
    <t>NO ($)</t>
  </si>
  <si>
    <t>PM ($)</t>
  </si>
  <si>
    <t>VOC ($)</t>
  </si>
  <si>
    <t>Accident Type</t>
  </si>
  <si>
    <t>per capita</t>
  </si>
  <si>
    <t>Annual per Capota</t>
  </si>
  <si>
    <t>Accident Type (per capita)</t>
  </si>
  <si>
    <t>Medium Truck Travel Time</t>
  </si>
  <si>
    <t>Medium Truck Operating Cost</t>
  </si>
  <si>
    <t>Medium Truck Tolls</t>
  </si>
  <si>
    <t>Heavy Truck Travel Time</t>
  </si>
  <si>
    <t>Heavy Truck Operating Cost</t>
  </si>
  <si>
    <t>Havey Truck Tolls</t>
  </si>
  <si>
    <t>Baseline Totals</t>
  </si>
  <si>
    <t>Scenario Totals</t>
  </si>
  <si>
    <t>Household Travel Time</t>
  </si>
  <si>
    <t>Household Auto Operating and Tolls</t>
  </si>
  <si>
    <t>Truck Auto Operating and Tolls</t>
  </si>
  <si>
    <t>Truck 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</si>
</sst>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&quot;$&quot;* #,##0.0_);_(&quot;$&quot;* \(#,##0.0\);_(&quot;$&quot;* &quot;-&quot;??_);_(@_)"/>
    <numFmt numFmtId="168" formatCode="&quot;$&quot;#,##0"/>
    <numFmt numFmtId="169" formatCode="_([$$-409]* #,##0.00_);_([$$-409]* \(#,##0.00\);_([$$-409]* &quot;-&quot;??_);_(@_)"/>
    <numFmt numFmtId="170" formatCode="_(* #,##0.0000_);_(* \(#,##0.0000\);_(* &quot;-&quot;??_);_(@_)"/>
    <numFmt numFmtId="171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sz val="11"/>
      <color rgb="FFFF0000"/>
      <name val="Cambria"/>
      <family val="1"/>
    </font>
    <font>
      <sz val="10"/>
      <color rgb="FFFF0000"/>
      <name val="Cambria"/>
      <family val="1"/>
    </font>
    <font>
      <sz val="14"/>
      <color theme="1"/>
      <name val="Cambria"/>
      <family val="1"/>
    </font>
    <font>
      <sz val="14"/>
      <color rgb="FFFF0000"/>
      <name val="Cambria"/>
      <family val="1"/>
    </font>
    <font>
      <b/>
      <sz val="20"/>
      <color rgb="FFFF0000"/>
      <name val="Cambria"/>
      <family val="1"/>
    </font>
    <font>
      <b/>
      <i/>
      <sz val="10"/>
      <color theme="1"/>
      <name val="Cambria"/>
      <family val="1"/>
    </font>
    <font>
      <b/>
      <sz val="12"/>
      <color rgb="FFFF0000"/>
      <name val="Cambria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/>
    <xf numFmtId="0" fontId="4" fillId="0" borderId="8" xfId="0" applyFont="1" applyBorder="1" applyAlignment="1">
      <alignment horizontal="center" vertical="top"/>
    </xf>
    <xf numFmtId="0" fontId="6" fillId="2" borderId="0" xfId="0" applyFont="1" applyFill="1" applyBorder="1"/>
    <xf numFmtId="0" fontId="14" fillId="2" borderId="4" xfId="0" applyFont="1" applyFill="1" applyBorder="1" applyAlignment="1"/>
    <xf numFmtId="0" fontId="13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/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6" fillId="2" borderId="17" xfId="0" applyFont="1" applyFill="1" applyBorder="1" applyAlignment="1">
      <alignment wrapText="1"/>
    </xf>
    <xf numFmtId="168" fontId="6" fillId="2" borderId="18" xfId="2" applyNumberFormat="1" applyFont="1" applyFill="1" applyBorder="1" applyAlignment="1">
      <alignment wrapText="1"/>
    </xf>
    <xf numFmtId="165" fontId="6" fillId="2" borderId="19" xfId="0" applyNumberFormat="1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2" borderId="0" xfId="0" applyFill="1"/>
    <xf numFmtId="0" fontId="10" fillId="2" borderId="0" xfId="0" applyFont="1" applyFill="1"/>
    <xf numFmtId="0" fontId="6" fillId="2" borderId="8" xfId="0" applyFont="1" applyFill="1" applyBorder="1"/>
    <xf numFmtId="0" fontId="9" fillId="2" borderId="9" xfId="0" applyFont="1" applyFill="1" applyBorder="1"/>
    <xf numFmtId="0" fontId="6" fillId="2" borderId="10" xfId="0" applyFont="1" applyFill="1" applyBorder="1"/>
    <xf numFmtId="0" fontId="6" fillId="2" borderId="20" xfId="0" applyFont="1" applyFill="1" applyBorder="1" applyAlignment="1">
      <alignment wrapText="1"/>
    </xf>
    <xf numFmtId="168" fontId="6" fillId="2" borderId="0" xfId="2" applyNumberFormat="1" applyFont="1" applyFill="1" applyBorder="1" applyAlignment="1">
      <alignment wrapText="1"/>
    </xf>
    <xf numFmtId="165" fontId="6" fillId="2" borderId="21" xfId="0" applyNumberFormat="1" applyFont="1" applyFill="1" applyBorder="1" applyAlignment="1">
      <alignment wrapText="1"/>
    </xf>
    <xf numFmtId="0" fontId="5" fillId="2" borderId="11" xfId="0" applyFont="1" applyFill="1" applyBorder="1"/>
    <xf numFmtId="165" fontId="7" fillId="2" borderId="0" xfId="0" applyNumberFormat="1" applyFont="1" applyFill="1" applyBorder="1"/>
    <xf numFmtId="44" fontId="5" fillId="2" borderId="1" xfId="0" applyNumberFormat="1" applyFont="1" applyFill="1" applyBorder="1"/>
    <xf numFmtId="0" fontId="5" fillId="2" borderId="0" xfId="0" applyFont="1" applyFill="1" applyBorder="1"/>
    <xf numFmtId="0" fontId="5" fillId="2" borderId="21" xfId="0" applyFont="1" applyFill="1" applyBorder="1"/>
    <xf numFmtId="0" fontId="5" fillId="2" borderId="0" xfId="0" applyFont="1" applyFill="1"/>
    <xf numFmtId="0" fontId="8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wrapText="1"/>
    </xf>
    <xf numFmtId="0" fontId="7" fillId="2" borderId="21" xfId="0" applyFont="1" applyFill="1" applyBorder="1"/>
    <xf numFmtId="164" fontId="7" fillId="2" borderId="0" xfId="1" applyNumberFormat="1" applyFont="1" applyFill="1" applyBorder="1"/>
    <xf numFmtId="0" fontId="1" fillId="2" borderId="0" xfId="0" applyFont="1" applyFill="1" applyBorder="1"/>
    <xf numFmtId="0" fontId="6" fillId="2" borderId="22" xfId="0" applyFont="1" applyFill="1" applyBorder="1" applyAlignment="1">
      <alignment wrapText="1"/>
    </xf>
    <xf numFmtId="164" fontId="7" fillId="2" borderId="23" xfId="1" applyNumberFormat="1" applyFont="1" applyFill="1" applyBorder="1"/>
    <xf numFmtId="0" fontId="7" fillId="2" borderId="24" xfId="0" applyFont="1" applyFill="1" applyBorder="1"/>
    <xf numFmtId="0" fontId="7" fillId="2" borderId="0" xfId="0" applyFont="1" applyFill="1" applyBorder="1"/>
    <xf numFmtId="0" fontId="5" fillId="2" borderId="12" xfId="0" applyFont="1" applyFill="1" applyBorder="1"/>
    <xf numFmtId="165" fontId="7" fillId="2" borderId="6" xfId="0" applyNumberFormat="1" applyFont="1" applyFill="1" applyBorder="1"/>
    <xf numFmtId="44" fontId="5" fillId="2" borderId="7" xfId="0" applyNumberFormat="1" applyFont="1" applyFill="1" applyBorder="1"/>
    <xf numFmtId="44" fontId="5" fillId="2" borderId="0" xfId="0" applyNumberFormat="1" applyFont="1" applyFill="1" applyBorder="1"/>
    <xf numFmtId="0" fontId="6" fillId="2" borderId="8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164" fontId="5" fillId="2" borderId="25" xfId="1" applyNumberFormat="1" applyFont="1" applyFill="1" applyBorder="1" applyAlignment="1">
      <alignment wrapText="1"/>
    </xf>
    <xf numFmtId="164" fontId="5" fillId="2" borderId="2" xfId="1" applyNumberFormat="1" applyFont="1" applyFill="1" applyBorder="1" applyAlignment="1">
      <alignment wrapText="1"/>
    </xf>
    <xf numFmtId="9" fontId="5" fillId="2" borderId="2" xfId="3" applyFont="1" applyFill="1" applyBorder="1" applyAlignment="1">
      <alignment wrapText="1"/>
    </xf>
    <xf numFmtId="6" fontId="5" fillId="2" borderId="2" xfId="0" applyNumberFormat="1" applyFont="1" applyFill="1" applyBorder="1" applyAlignment="1">
      <alignment wrapText="1"/>
    </xf>
    <xf numFmtId="165" fontId="5" fillId="2" borderId="3" xfId="2" applyNumberFormat="1" applyFont="1" applyFill="1" applyBorder="1" applyAlignment="1">
      <alignment wrapText="1"/>
    </xf>
    <xf numFmtId="0" fontId="11" fillId="2" borderId="0" xfId="0" applyFont="1" applyFill="1"/>
    <xf numFmtId="0" fontId="5" fillId="2" borderId="11" xfId="0" applyFont="1" applyFill="1" applyBorder="1" applyAlignment="1">
      <alignment wrapText="1"/>
    </xf>
    <xf numFmtId="164" fontId="5" fillId="2" borderId="25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1" fontId="5" fillId="2" borderId="2" xfId="0" applyNumberFormat="1" applyFont="1" applyFill="1" applyBorder="1" applyAlignment="1">
      <alignment wrapText="1"/>
    </xf>
    <xf numFmtId="1" fontId="5" fillId="2" borderId="3" xfId="0" applyNumberFormat="1" applyFont="1" applyFill="1" applyBorder="1" applyAlignment="1">
      <alignment wrapText="1"/>
    </xf>
    <xf numFmtId="164" fontId="5" fillId="2" borderId="14" xfId="1" applyNumberFormat="1" applyFont="1" applyFill="1" applyBorder="1" applyAlignment="1">
      <alignment wrapText="1"/>
    </xf>
    <xf numFmtId="164" fontId="5" fillId="2" borderId="0" xfId="1" applyNumberFormat="1" applyFont="1" applyFill="1" applyBorder="1" applyAlignment="1">
      <alignment wrapText="1"/>
    </xf>
    <xf numFmtId="9" fontId="5" fillId="2" borderId="0" xfId="3" applyFont="1" applyFill="1" applyBorder="1" applyAlignment="1">
      <alignment wrapText="1"/>
    </xf>
    <xf numFmtId="6" fontId="5" fillId="2" borderId="0" xfId="0" applyNumberFormat="1" applyFont="1" applyFill="1" applyBorder="1" applyAlignment="1">
      <alignment wrapText="1"/>
    </xf>
    <xf numFmtId="165" fontId="5" fillId="2" borderId="1" xfId="2" applyNumberFormat="1" applyFont="1" applyFill="1" applyBorder="1" applyAlignment="1">
      <alignment wrapText="1"/>
    </xf>
    <xf numFmtId="164" fontId="5" fillId="2" borderId="14" xfId="0" applyNumberFormat="1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164" fontId="5" fillId="2" borderId="15" xfId="1" applyNumberFormat="1" applyFont="1" applyFill="1" applyBorder="1" applyAlignment="1">
      <alignment wrapText="1"/>
    </xf>
    <xf numFmtId="164" fontId="5" fillId="2" borderId="6" xfId="1" applyNumberFormat="1" applyFont="1" applyFill="1" applyBorder="1" applyAlignment="1">
      <alignment wrapText="1"/>
    </xf>
    <xf numFmtId="9" fontId="5" fillId="2" borderId="6" xfId="3" applyFont="1" applyFill="1" applyBorder="1" applyAlignment="1">
      <alignment wrapText="1"/>
    </xf>
    <xf numFmtId="6" fontId="5" fillId="2" borderId="6" xfId="0" applyNumberFormat="1" applyFont="1" applyFill="1" applyBorder="1" applyAlignment="1">
      <alignment wrapText="1"/>
    </xf>
    <xf numFmtId="165" fontId="5" fillId="2" borderId="7" xfId="2" applyNumberFormat="1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164" fontId="5" fillId="2" borderId="15" xfId="0" applyNumberFormat="1" applyFont="1" applyFill="1" applyBorder="1" applyAlignment="1">
      <alignment wrapText="1"/>
    </xf>
    <xf numFmtId="164" fontId="5" fillId="2" borderId="6" xfId="0" applyNumberFormat="1" applyFont="1" applyFill="1" applyBorder="1" applyAlignment="1">
      <alignment wrapText="1"/>
    </xf>
    <xf numFmtId="1" fontId="5" fillId="2" borderId="6" xfId="0" applyNumberFormat="1" applyFont="1" applyFill="1" applyBorder="1" applyAlignment="1">
      <alignment wrapText="1"/>
    </xf>
    <xf numFmtId="1" fontId="5" fillId="2" borderId="7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5" fontId="5" fillId="2" borderId="0" xfId="2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6" fillId="2" borderId="13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165" fontId="5" fillId="2" borderId="25" xfId="2" applyNumberFormat="1" applyFont="1" applyFill="1" applyBorder="1" applyAlignment="1">
      <alignment wrapText="1"/>
    </xf>
    <xf numFmtId="165" fontId="5" fillId="2" borderId="2" xfId="2" applyNumberFormat="1" applyFont="1" applyFill="1" applyBorder="1" applyAlignment="1">
      <alignment wrapText="1"/>
    </xf>
    <xf numFmtId="169" fontId="5" fillId="2" borderId="0" xfId="0" applyNumberFormat="1" applyFont="1" applyFill="1" applyAlignment="1">
      <alignment wrapText="1"/>
    </xf>
    <xf numFmtId="44" fontId="5" fillId="2" borderId="25" xfId="0" applyNumberFormat="1" applyFont="1" applyFill="1" applyBorder="1"/>
    <xf numFmtId="44" fontId="5" fillId="2" borderId="2" xfId="0" applyNumberFormat="1" applyFont="1" applyFill="1" applyBorder="1"/>
    <xf numFmtId="44" fontId="5" fillId="2" borderId="2" xfId="2" applyFont="1" applyFill="1" applyBorder="1"/>
    <xf numFmtId="44" fontId="5" fillId="2" borderId="3" xfId="2" applyFont="1" applyFill="1" applyBorder="1"/>
    <xf numFmtId="5" fontId="5" fillId="2" borderId="1" xfId="2" applyNumberFormat="1" applyFont="1" applyFill="1" applyBorder="1" applyAlignment="1">
      <alignment wrapText="1"/>
    </xf>
    <xf numFmtId="166" fontId="5" fillId="2" borderId="14" xfId="0" applyNumberFormat="1" applyFont="1" applyFill="1" applyBorder="1"/>
    <xf numFmtId="166" fontId="5" fillId="2" borderId="0" xfId="0" applyNumberFormat="1" applyFont="1" applyFill="1" applyBorder="1"/>
    <xf numFmtId="0" fontId="5" fillId="2" borderId="1" xfId="0" applyFont="1" applyFill="1" applyBorder="1"/>
    <xf numFmtId="165" fontId="5" fillId="2" borderId="14" xfId="2" applyNumberFormat="1" applyFont="1" applyFill="1" applyBorder="1" applyAlignment="1">
      <alignment wrapText="1"/>
    </xf>
    <xf numFmtId="44" fontId="5" fillId="2" borderId="14" xfId="0" applyNumberFormat="1" applyFont="1" applyFill="1" applyBorder="1"/>
    <xf numFmtId="167" fontId="5" fillId="2" borderId="0" xfId="2" applyNumberFormat="1" applyFont="1" applyFill="1" applyBorder="1"/>
    <xf numFmtId="168" fontId="5" fillId="2" borderId="15" xfId="2" applyNumberFormat="1" applyFont="1" applyFill="1" applyBorder="1" applyAlignment="1">
      <alignment wrapText="1"/>
    </xf>
    <xf numFmtId="165" fontId="5" fillId="2" borderId="6" xfId="2" applyNumberFormat="1" applyFont="1" applyFill="1" applyBorder="1" applyAlignment="1">
      <alignment wrapText="1"/>
    </xf>
    <xf numFmtId="44" fontId="5" fillId="2" borderId="15" xfId="0" applyNumberFormat="1" applyFont="1" applyFill="1" applyBorder="1"/>
    <xf numFmtId="44" fontId="5" fillId="2" borderId="6" xfId="0" applyNumberFormat="1" applyFont="1" applyFill="1" applyBorder="1"/>
    <xf numFmtId="44" fontId="5" fillId="2" borderId="6" xfId="2" applyFont="1" applyFill="1" applyBorder="1"/>
    <xf numFmtId="44" fontId="5" fillId="2" borderId="7" xfId="2" applyFont="1" applyFill="1" applyBorder="1"/>
    <xf numFmtId="166" fontId="5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9" fontId="5" fillId="2" borderId="0" xfId="0" applyNumberFormat="1" applyFont="1" applyFill="1" applyBorder="1" applyAlignment="1">
      <alignment wrapText="1"/>
    </xf>
    <xf numFmtId="9" fontId="5" fillId="2" borderId="1" xfId="0" applyNumberFormat="1" applyFont="1" applyFill="1" applyBorder="1" applyAlignment="1">
      <alignment wrapText="1"/>
    </xf>
    <xf numFmtId="9" fontId="5" fillId="2" borderId="6" xfId="0" applyNumberFormat="1" applyFont="1" applyFill="1" applyBorder="1" applyAlignment="1">
      <alignment wrapText="1"/>
    </xf>
    <xf numFmtId="9" fontId="5" fillId="2" borderId="7" xfId="0" applyNumberFormat="1" applyFont="1" applyFill="1" applyBorder="1" applyAlignment="1">
      <alignment wrapText="1"/>
    </xf>
    <xf numFmtId="166" fontId="5" fillId="2" borderId="6" xfId="0" applyNumberFormat="1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8" fontId="5" fillId="2" borderId="0" xfId="0" applyNumberFormat="1" applyFont="1" applyFill="1" applyBorder="1" applyAlignment="1">
      <alignment wrapText="1"/>
    </xf>
    <xf numFmtId="168" fontId="5" fillId="2" borderId="6" xfId="0" applyNumberFormat="1" applyFont="1" applyFill="1" applyBorder="1" applyAlignment="1">
      <alignment wrapText="1"/>
    </xf>
    <xf numFmtId="0" fontId="2" fillId="2" borderId="0" xfId="0" applyFont="1" applyFill="1"/>
    <xf numFmtId="0" fontId="6" fillId="2" borderId="0" xfId="0" applyFont="1" applyFill="1"/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6" fillId="2" borderId="25" xfId="0" applyFont="1" applyFill="1" applyBorder="1"/>
    <xf numFmtId="0" fontId="9" fillId="2" borderId="2" xfId="0" applyFont="1" applyFill="1" applyBorder="1"/>
    <xf numFmtId="0" fontId="6" fillId="2" borderId="3" xfId="0" applyFont="1" applyFill="1" applyBorder="1"/>
    <xf numFmtId="0" fontId="5" fillId="2" borderId="14" xfId="0" applyFont="1" applyFill="1" applyBorder="1"/>
    <xf numFmtId="0" fontId="7" fillId="2" borderId="23" xfId="0" applyFont="1" applyFill="1" applyBorder="1"/>
    <xf numFmtId="0" fontId="5" fillId="2" borderId="15" xfId="0" applyFont="1" applyFill="1" applyBorder="1"/>
    <xf numFmtId="0" fontId="15" fillId="2" borderId="0" xfId="0" applyFont="1" applyFill="1" applyBorder="1"/>
    <xf numFmtId="1" fontId="5" fillId="2" borderId="0" xfId="2" applyNumberFormat="1" applyFont="1" applyFill="1" applyBorder="1" applyAlignment="1">
      <alignment wrapText="1"/>
    </xf>
    <xf numFmtId="1" fontId="5" fillId="2" borderId="23" xfId="2" applyNumberFormat="1" applyFont="1" applyFill="1" applyBorder="1" applyAlignment="1">
      <alignment wrapText="1"/>
    </xf>
    <xf numFmtId="0" fontId="17" fillId="2" borderId="0" xfId="0" applyFont="1" applyFill="1"/>
    <xf numFmtId="43" fontId="0" fillId="2" borderId="0" xfId="0" applyNumberFormat="1" applyFill="1" applyBorder="1"/>
    <xf numFmtId="43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2" applyNumberFormat="1" applyFont="1" applyFill="1" applyBorder="1"/>
    <xf numFmtId="165" fontId="0" fillId="2" borderId="6" xfId="2" applyNumberFormat="1" applyFont="1" applyFill="1" applyBorder="1"/>
    <xf numFmtId="165" fontId="0" fillId="2" borderId="7" xfId="2" applyNumberFormat="1" applyFont="1" applyFill="1" applyBorder="1"/>
    <xf numFmtId="0" fontId="1" fillId="2" borderId="10" xfId="0" applyFont="1" applyFill="1" applyBorder="1"/>
    <xf numFmtId="164" fontId="5" fillId="3" borderId="0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5" fontId="5" fillId="3" borderId="0" xfId="2" applyNumberFormat="1" applyFont="1" applyFill="1" applyBorder="1" applyAlignment="1">
      <alignment wrapText="1"/>
    </xf>
    <xf numFmtId="165" fontId="5" fillId="3" borderId="1" xfId="2" applyNumberFormat="1" applyFont="1" applyFill="1" applyBorder="1" applyAlignment="1">
      <alignment wrapText="1"/>
    </xf>
    <xf numFmtId="165" fontId="7" fillId="2" borderId="0" xfId="2" applyNumberFormat="1" applyFont="1" applyFill="1" applyBorder="1"/>
    <xf numFmtId="43" fontId="5" fillId="2" borderId="0" xfId="0" applyNumberFormat="1" applyFont="1" applyFill="1" applyBorder="1" applyAlignment="1">
      <alignment wrapText="1"/>
    </xf>
    <xf numFmtId="170" fontId="5" fillId="2" borderId="0" xfId="0" applyNumberFormat="1" applyFont="1" applyFill="1" applyBorder="1" applyAlignment="1">
      <alignment wrapText="1"/>
    </xf>
    <xf numFmtId="1" fontId="0" fillId="0" borderId="0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9" xfId="0" applyBorder="1"/>
    <xf numFmtId="0" fontId="0" fillId="0" borderId="8" xfId="0" applyBorder="1"/>
    <xf numFmtId="1" fontId="5" fillId="2" borderId="16" xfId="0" applyNumberFormat="1" applyFont="1" applyFill="1" applyBorder="1" applyAlignment="1">
      <alignment wrapText="1"/>
    </xf>
    <xf numFmtId="1" fontId="5" fillId="2" borderId="11" xfId="0" applyNumberFormat="1" applyFont="1" applyFill="1" applyBorder="1" applyAlignment="1">
      <alignment wrapText="1"/>
    </xf>
    <xf numFmtId="1" fontId="5" fillId="2" borderId="12" xfId="0" applyNumberFormat="1" applyFont="1" applyFill="1" applyBorder="1" applyAlignment="1">
      <alignment wrapText="1"/>
    </xf>
    <xf numFmtId="168" fontId="5" fillId="2" borderId="16" xfId="0" applyNumberFormat="1" applyFont="1" applyFill="1" applyBorder="1" applyAlignment="1">
      <alignment wrapText="1"/>
    </xf>
    <xf numFmtId="168" fontId="0" fillId="0" borderId="0" xfId="0" applyNumberFormat="1" applyBorder="1"/>
    <xf numFmtId="0" fontId="5" fillId="2" borderId="8" xfId="0" applyFont="1" applyFill="1" applyBorder="1" applyAlignment="1">
      <alignment wrapText="1"/>
    </xf>
    <xf numFmtId="0" fontId="0" fillId="0" borderId="9" xfId="0" applyFont="1" applyBorder="1"/>
    <xf numFmtId="0" fontId="0" fillId="0" borderId="0" xfId="0" applyFill="1" applyBorder="1"/>
    <xf numFmtId="2" fontId="5" fillId="2" borderId="8" xfId="0" applyNumberFormat="1" applyFont="1" applyFill="1" applyBorder="1" applyAlignment="1">
      <alignment wrapText="1"/>
    </xf>
    <xf numFmtId="2" fontId="0" fillId="0" borderId="8" xfId="0" applyNumberFormat="1" applyBorder="1"/>
    <xf numFmtId="171" fontId="1" fillId="2" borderId="0" xfId="0" applyNumberFormat="1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64" fontId="5" fillId="2" borderId="13" xfId="1" applyNumberFormat="1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0" borderId="7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</a:t>
            </a:r>
          </a:p>
          <a:p>
            <a:pPr>
              <a:defRPr/>
            </a:pPr>
            <a:r>
              <a:rPr lang="en-US"/>
              <a:t>Daily Out-of-Pocket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28018372703413"/>
          <c:y val="0.29653944298629337"/>
          <c:w val="0.53144203849518812"/>
          <c:h val="0.423984762321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Difference!$M$23</c:f>
              <c:strCache>
                <c:ptCount val="1"/>
                <c:pt idx="0">
                  <c:v>per Person 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Difference!$M$24:$M$27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-0.19780279112785903</c:v>
                </c:pt>
                <c:pt idx="1">
                  <c:v>-5.3377137386102502E-3</c:v>
                </c:pt>
                <c:pt idx="2" formatCode="_(&quot;$&quot;* #,##0.00_);_(&quot;$&quot;* \(#,##0.00\);_(&quot;$&quot;* &quot;-&quot;??_);_(@_)">
                  <c:v>2.5819461268989263E-2</c:v>
                </c:pt>
                <c:pt idx="3" formatCode="_(&quot;$&quot;* #,##0.00_);_(&quot;$&quot;* \(#,##0.00\);_(&quot;$&quot;* &quot;-&quot;??_);_(@_)">
                  <c:v>3.4931875408082846E-2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782-808E-55F05FABB891}"/>
            </c:ext>
          </c:extLst>
        </c:ser>
        <c:ser>
          <c:idx val="1"/>
          <c:order val="1"/>
          <c:tx>
            <c:strRef>
              <c:f>Difference!$N$23</c:f>
              <c:strCache>
                <c:ptCount val="1"/>
                <c:pt idx="0">
                  <c:v>per Low Income Person</c:v>
                </c:pt>
              </c:strCache>
            </c:strRef>
          </c:tx>
          <c:invertIfNegative val="0"/>
          <c:cat>
            <c:strRef>
              <c:f>Difference!$L$24:$L$27</c:f>
              <c:strCache>
                <c:ptCount val="4"/>
                <c:pt idx="0">
                  <c:v>Toll and Auto Operating Cost </c:v>
                </c:pt>
                <c:pt idx="1">
                  <c:v>Autos Owned</c:v>
                </c:pt>
                <c:pt idx="2">
                  <c:v>Transit Costs</c:v>
                </c:pt>
                <c:pt idx="3">
                  <c:v>Parking Costs</c:v>
                </c:pt>
              </c:strCache>
            </c:strRef>
          </c:cat>
          <c:val>
            <c:numRef>
              <c:f>Difference!$N$24:$N$27</c:f>
              <c:numCache>
                <c:formatCode>0.0</c:formatCode>
                <c:ptCount val="4"/>
                <c:pt idx="0" formatCode="_(&quot;$&quot;* #,##0.00_);_(&quot;$&quot;* \(#,##0.00\);_(&quot;$&quot;* &quot;-&quot;??_);_(@_)">
                  <c:v>0.2348841916549862</c:v>
                </c:pt>
                <c:pt idx="1">
                  <c:v>6.0664177803200325E-2</c:v>
                </c:pt>
                <c:pt idx="2" formatCode="_(&quot;$&quot;* #,##0.00_);_(&quot;$&quot;* \(#,##0.00\);_(&quot;$&quot;* &quot;-&quot;??_);_(@_)">
                  <c:v>2.7301582015226672E-2</c:v>
                </c:pt>
                <c:pt idx="3" formatCode="_(&quot;$&quot;* #,##0.00_);_(&quot;$&quot;* \(#,##0.00\);_(&quot;$&quot;* &quot;-&quot;??_);_(@_)">
                  <c:v>9.2428312182945227E-2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782-808E-55F05FAB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18496"/>
        <c:axId val="83420672"/>
      </c:barChart>
      <c:catAx>
        <c:axId val="83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664387576552931"/>
              <c:y val="0.832916666666666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420672"/>
        <c:crosses val="autoZero"/>
        <c:auto val="1"/>
        <c:lblAlgn val="ctr"/>
        <c:lblOffset val="100"/>
        <c:noMultiLvlLbl val="0"/>
      </c:catAx>
      <c:valAx>
        <c:axId val="8342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</a:t>
                </a:r>
                <a:r>
                  <a:rPr lang="en-US" sz="1400" baseline="0"/>
                  <a:t> e in </a:t>
                </a: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41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7222222222223"/>
          <c:y val="0.31200021872265965"/>
          <c:w val="0.22061111111111112"/>
          <c:h val="0.39428623505395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Metrics'!$G$15:$G$20</c:f>
              <c:numCache>
                <c:formatCode>0%</c:formatCode>
                <c:ptCount val="6"/>
                <c:pt idx="0">
                  <c:v>0.49277155816995349</c:v>
                </c:pt>
                <c:pt idx="1">
                  <c:v>0.3770617552723825</c:v>
                </c:pt>
                <c:pt idx="2">
                  <c:v>0.25162351922204573</c:v>
                </c:pt>
                <c:pt idx="3">
                  <c:v>9.6799471780548638E-2</c:v>
                </c:pt>
                <c:pt idx="4">
                  <c:v>0.2460823412531542</c:v>
                </c:pt>
                <c:pt idx="5">
                  <c:v>3.6234722312332442E-2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B-478F-8142-9F3850EC4808}"/>
            </c:ext>
          </c:extLst>
        </c:ser>
        <c:ser>
          <c:idx val="1"/>
          <c:order val="1"/>
          <c:tx>
            <c:strRef>
              <c:f>'Baseline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'Baseline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Metrics'!$H$15:$H$20</c:f>
              <c:numCache>
                <c:formatCode>0%</c:formatCode>
                <c:ptCount val="6"/>
                <c:pt idx="0">
                  <c:v>0.36786193706943349</c:v>
                </c:pt>
                <c:pt idx="1">
                  <c:v>0.33965606921317487</c:v>
                </c:pt>
                <c:pt idx="2">
                  <c:v>0.21640701126372192</c:v>
                </c:pt>
                <c:pt idx="3">
                  <c:v>0.5059793805066517</c:v>
                </c:pt>
                <c:pt idx="4">
                  <c:v>0.28582915212043708</c:v>
                </c:pt>
                <c:pt idx="5">
                  <c:v>4.5136656952775953E-2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B-478F-8142-9F3850EC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1936"/>
        <c:axId val="84582784"/>
      </c:barChart>
      <c:catAx>
        <c:axId val="845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582784"/>
        <c:crosses val="autoZero"/>
        <c:auto val="1"/>
        <c:lblAlgn val="ctr"/>
        <c:lblOffset val="100"/>
        <c:noMultiLvlLbl val="0"/>
      </c:catAx>
      <c:valAx>
        <c:axId val="8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5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Metrics'!$O$15:$O$20</c:f>
              <c:numCache>
                <c:formatCode>0</c:formatCode>
                <c:ptCount val="6"/>
                <c:pt idx="0">
                  <c:v>64.450561885801449</c:v>
                </c:pt>
                <c:pt idx="1">
                  <c:v>39.741107424792318</c:v>
                </c:pt>
                <c:pt idx="2">
                  <c:v>39.171948192338583</c:v>
                </c:pt>
                <c:pt idx="3">
                  <c:v>50.996679447287249</c:v>
                </c:pt>
                <c:pt idx="4">
                  <c:v>90.919794727418633</c:v>
                </c:pt>
                <c:pt idx="5">
                  <c:v>61.135273145230556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EB3-BF71-A792B4B056C4}"/>
            </c:ext>
          </c:extLst>
        </c:ser>
        <c:ser>
          <c:idx val="1"/>
          <c:order val="1"/>
          <c:tx>
            <c:strRef>
              <c:f>'Baseline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'Baseline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'Baseline Metrics'!$P$15:$P$20</c:f>
              <c:numCache>
                <c:formatCode>0</c:formatCode>
                <c:ptCount val="6"/>
                <c:pt idx="0">
                  <c:v>54.411197996007068</c:v>
                </c:pt>
                <c:pt idx="1">
                  <c:v>38.175319124377879</c:v>
                </c:pt>
                <c:pt idx="2">
                  <c:v>36.822410679851799</c:v>
                </c:pt>
                <c:pt idx="3">
                  <c:v>13.818267800116365</c:v>
                </c:pt>
                <c:pt idx="4">
                  <c:v>100.39804691769849</c:v>
                </c:pt>
                <c:pt idx="5">
                  <c:v>60.622439060044385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4EB3-BF71-A792B4B0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5840"/>
        <c:axId val="114277760"/>
      </c:barChart>
      <c:catAx>
        <c:axId val="1142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14277760"/>
        <c:crosses val="autoZero"/>
        <c:auto val="1"/>
        <c:lblAlgn val="ctr"/>
        <c:lblOffset val="100"/>
        <c:noMultiLvlLbl val="0"/>
      </c:catAx>
      <c:valAx>
        <c:axId val="1142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42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'Baseline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'Baseline Metrics'!$N$4:$N$11</c:f>
              <c:numCache>
                <c:formatCode>_("$"* #,##0.00_);_("$"* \(#,##0.00\);_("$"* "-"??_);_(@_)</c:formatCode>
                <c:ptCount val="8"/>
                <c:pt idx="0">
                  <c:v>35.885944257558556</c:v>
                </c:pt>
                <c:pt idx="1">
                  <c:v>3.3630023614511244</c:v>
                </c:pt>
                <c:pt idx="2">
                  <c:v>15.684555589270023</c:v>
                </c:pt>
                <c:pt idx="3">
                  <c:v>0.13455067571988563</c:v>
                </c:pt>
                <c:pt idx="4">
                  <c:v>0.57246555714878178</c:v>
                </c:pt>
                <c:pt idx="6">
                  <c:v>1.6671810108173417</c:v>
                </c:pt>
                <c:pt idx="7">
                  <c:v>0.83636524346720409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100-A5D6-99F94949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17440"/>
        <c:axId val="83519360"/>
      </c:barChart>
      <c:catAx>
        <c:axId val="835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3519360"/>
        <c:crosses val="autoZero"/>
        <c:auto val="1"/>
        <c:lblAlgn val="ctr"/>
        <c:lblOffset val="100"/>
        <c:noMultiLvlLbl val="0"/>
      </c:catAx>
      <c:valAx>
        <c:axId val="8351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'Baseline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'Baseline Metrics'!$C$38:$C$40</c:f>
              <c:numCache>
                <c:formatCode>0</c:formatCode>
                <c:ptCount val="3"/>
                <c:pt idx="0">
                  <c:v>49.283153831235246</c:v>
                </c:pt>
                <c:pt idx="1">
                  <c:v>93.791638359199609</c:v>
                </c:pt>
                <c:pt idx="2" formatCode="0.0">
                  <c:v>0.9118180229104933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0EA-9C04-6E001D07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43936"/>
        <c:axId val="83554304"/>
      </c:barChart>
      <c:catAx>
        <c:axId val="83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3554304"/>
        <c:crosses val="autoZero"/>
        <c:auto val="1"/>
        <c:lblAlgn val="ctr"/>
        <c:lblOffset val="100"/>
        <c:noMultiLvlLbl val="0"/>
      </c:catAx>
      <c:valAx>
        <c:axId val="8355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54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75240594925635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Metrics'!$G$15:$G$20</c:f>
              <c:numCache>
                <c:formatCode>0%</c:formatCode>
                <c:ptCount val="6"/>
                <c:pt idx="0">
                  <c:v>0.50047458323334848</c:v>
                </c:pt>
                <c:pt idx="1">
                  <c:v>0.36204423924695406</c:v>
                </c:pt>
                <c:pt idx="2">
                  <c:v>0.2244241133131652</c:v>
                </c:pt>
                <c:pt idx="3">
                  <c:v>7.5982357952491378E-2</c:v>
                </c:pt>
                <c:pt idx="4">
                  <c:v>0.27818750910342643</c:v>
                </c:pt>
                <c:pt idx="5">
                  <c:v>4.04195278059249E-2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E73-8648-0D51519A9BA0}"/>
            </c:ext>
          </c:extLst>
        </c:ser>
        <c:ser>
          <c:idx val="1"/>
          <c:order val="1"/>
          <c:tx>
            <c:strRef>
              <c:f>'Scenario Metrics'!$H$14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'Scenario Metrics'!$B$15:$B$20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Metrics'!$H$15:$H$20</c:f>
              <c:numCache>
                <c:formatCode>0%</c:formatCode>
                <c:ptCount val="6"/>
                <c:pt idx="0">
                  <c:v>0.42740759366356551</c:v>
                </c:pt>
                <c:pt idx="1">
                  <c:v>0.31768334590562403</c:v>
                </c:pt>
                <c:pt idx="2">
                  <c:v>0.1711340206185567</c:v>
                </c:pt>
                <c:pt idx="3">
                  <c:v>9.5300198362808369E-2</c:v>
                </c:pt>
                <c:pt idx="4">
                  <c:v>0.30737518509205708</c:v>
                </c:pt>
                <c:pt idx="5">
                  <c:v>4.8149079428938618E-2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E73-8648-0D51519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43296"/>
        <c:axId val="84745216"/>
      </c:barChart>
      <c:catAx>
        <c:axId val="8474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45216"/>
        <c:crosses val="autoZero"/>
        <c:auto val="1"/>
        <c:lblAlgn val="ctr"/>
        <c:lblOffset val="100"/>
        <c:noMultiLvlLbl val="0"/>
      </c:catAx>
      <c:valAx>
        <c:axId val="8474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Population 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74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Minutes per Day spent in each mode per mode user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68044619422571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Metrics'!$O$15:$O$20</c:f>
              <c:numCache>
                <c:formatCode>0</c:formatCode>
                <c:ptCount val="6"/>
                <c:pt idx="0">
                  <c:v>65.915881734821241</c:v>
                </c:pt>
                <c:pt idx="1">
                  <c:v>40.731020585029469</c:v>
                </c:pt>
                <c:pt idx="2">
                  <c:v>39.367743247054641</c:v>
                </c:pt>
                <c:pt idx="3">
                  <c:v>84.213877797108509</c:v>
                </c:pt>
                <c:pt idx="4">
                  <c:v>90.506742866821355</c:v>
                </c:pt>
                <c:pt idx="5">
                  <c:v>62.820450357679505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0-4D82-9018-A04E831E00CA}"/>
            </c:ext>
          </c:extLst>
        </c:ser>
        <c:ser>
          <c:idx val="1"/>
          <c:order val="1"/>
          <c:tx>
            <c:strRef>
              <c:f>'Scenario Metrics'!$P$14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'Scenario Metrics'!$L$15:$L$20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'Scenario Metrics'!$P$15:$P$20</c:f>
              <c:numCache>
                <c:formatCode>0</c:formatCode>
                <c:ptCount val="6"/>
                <c:pt idx="0">
                  <c:v>60.447091482966144</c:v>
                </c:pt>
                <c:pt idx="1">
                  <c:v>40.633662788111486</c:v>
                </c:pt>
                <c:pt idx="2">
                  <c:v>37.514286853359394</c:v>
                </c:pt>
                <c:pt idx="3">
                  <c:v>89.545814773375241</c:v>
                </c:pt>
                <c:pt idx="4">
                  <c:v>97.949534029368294</c:v>
                </c:pt>
                <c:pt idx="5">
                  <c:v>65.005997922638372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0-4D82-9018-A04E831E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504"/>
      </c:barChart>
      <c:catAx>
        <c:axId val="8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789504"/>
        <c:crosses val="autoZero"/>
        <c:auto val="1"/>
        <c:lblAlgn val="ctr"/>
        <c:lblOffset val="100"/>
        <c:noMultiLvlLbl val="0"/>
      </c:catAx>
      <c:valAx>
        <c:axId val="847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Mintutes Spent Traveling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Daily Cost per Person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0084171770195391"/>
          <c:w val="0.76594203849518816"/>
          <c:h val="0.40108668708078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 Metrics'!$N$3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'Scenario Metrics'!$L$4:$L$11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'Scenario Metrics'!$N$4:$N$11</c:f>
              <c:numCache>
                <c:formatCode>_("$"* #,##0.00_);_("$"* \(#,##0.00\);_("$"* "-"??_);_(@_)</c:formatCode>
                <c:ptCount val="8"/>
                <c:pt idx="0">
                  <c:v>37.786047072941045</c:v>
                </c:pt>
                <c:pt idx="1">
                  <c:v>3.1651995703232654</c:v>
                </c:pt>
                <c:pt idx="2">
                  <c:v>15.572463600759207</c:v>
                </c:pt>
                <c:pt idx="3">
                  <c:v>0.1603701369888749</c:v>
                </c:pt>
                <c:pt idx="4">
                  <c:v>0.60739743255686462</c:v>
                </c:pt>
                <c:pt idx="6">
                  <c:v>1.5092489327306751</c:v>
                </c:pt>
                <c:pt idx="7">
                  <c:v>0.76148979627324698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B-4A20-B82C-880C35A4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3952"/>
        <c:axId val="85140224"/>
      </c:barChart>
      <c:catAx>
        <c:axId val="85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5140224"/>
        <c:crosses val="autoZero"/>
        <c:auto val="1"/>
        <c:lblAlgn val="ctr"/>
        <c:lblOffset val="100"/>
        <c:noMultiLvlLbl val="0"/>
      </c:catAx>
      <c:valAx>
        <c:axId val="85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Daily Cost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513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Metrics'!$C$37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'Scenario Metrics'!$B$38:$B$40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'Scenario Metrics'!$C$38:$C$40</c:f>
              <c:numCache>
                <c:formatCode>0</c:formatCode>
                <c:ptCount val="3"/>
                <c:pt idx="0">
                  <c:v>56.844887153160776</c:v>
                </c:pt>
                <c:pt idx="1">
                  <c:v>107.73371713545689</c:v>
                </c:pt>
                <c:pt idx="2" formatCode="0.0">
                  <c:v>1.0518270586399558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6E-8A7F-0E836C70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1184"/>
        <c:axId val="85183104"/>
      </c:barChart>
      <c:catAx>
        <c:axId val="85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5183104"/>
        <c:crosses val="autoZero"/>
        <c:auto val="1"/>
        <c:lblAlgn val="ctr"/>
        <c:lblOffset val="100"/>
        <c:noMultiLvlLbl val="0"/>
      </c:catAx>
      <c:valAx>
        <c:axId val="851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Daily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518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Number of Walkers and Bikers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671084864391952"/>
          <c:y val="0.21332203266258384"/>
          <c:w val="0.50444181977252844"/>
          <c:h val="0.5771562408865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Difference!$B$32</c:f>
              <c:strCache>
                <c:ptCount val="1"/>
                <c:pt idx="0">
                  <c:v>Total Number of Walkers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Difference!$C$32:$D$32</c:f>
              <c:numCache>
                <c:formatCode>_(* #,##0_);_(* \(#,##0\);_(* "-"??_);_(@_)</c:formatCode>
                <c:ptCount val="2"/>
                <c:pt idx="0">
                  <c:v>405707</c:v>
                </c:pt>
                <c:pt idx="1">
                  <c:v>149207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DD0-951B-F2DE615AEF16}"/>
            </c:ext>
          </c:extLst>
        </c:ser>
        <c:ser>
          <c:idx val="1"/>
          <c:order val="1"/>
          <c:tx>
            <c:strRef>
              <c:f>Difference!$B$34</c:f>
              <c:strCache>
                <c:ptCount val="1"/>
                <c:pt idx="0">
                  <c:v>Total Number of Bikers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Difference!$C$34:$D$34</c:f>
              <c:numCache>
                <c:formatCode>_(* #,##0_);_(* \(#,##0\);_(* "-"??_);_(@_)</c:formatCode>
                <c:ptCount val="2"/>
                <c:pt idx="0">
                  <c:v>57150</c:v>
                </c:pt>
                <c:pt idx="1">
                  <c:v>23213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DD0-951B-F2DE615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06560"/>
        <c:axId val="84321024"/>
      </c:barChart>
      <c:catAx>
        <c:axId val="84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321024"/>
        <c:crosses val="autoZero"/>
        <c:auto val="1"/>
        <c:lblAlgn val="ctr"/>
        <c:lblOffset val="100"/>
        <c:noMultiLvlLbl val="0"/>
      </c:catAx>
      <c:valAx>
        <c:axId val="8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 in Walkers and Bikers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8430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1526684164478"/>
          <c:y val="0.27039151356080487"/>
          <c:w val="0.2221806649168854"/>
          <c:h val="0.385026975794692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Average Time Spent Walking and Biking per Walker/Biker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29653944298629337"/>
          <c:w val="0.57856692913385832"/>
          <c:h val="0.44764253426655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Difference!$B$31</c:f>
              <c:strCache>
                <c:ptCount val="1"/>
                <c:pt idx="0">
                  <c:v>Average Walking Time per Walker (minutes)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Difference!$C$31:$D$31</c:f>
              <c:numCache>
                <c:formatCode>0</c:formatCode>
                <c:ptCount val="2"/>
                <c:pt idx="0" formatCode="0.0">
                  <c:v>-0.41305186059727816</c:v>
                </c:pt>
                <c:pt idx="1">
                  <c:v>-2.4485128883301996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CD2-9584-13D002569C90}"/>
            </c:ext>
          </c:extLst>
        </c:ser>
        <c:ser>
          <c:idx val="1"/>
          <c:order val="1"/>
          <c:tx>
            <c:strRef>
              <c:f>Difference!$B$33</c:f>
              <c:strCache>
                <c:ptCount val="1"/>
                <c:pt idx="0">
                  <c:v>Average Biking Time per Biker</c:v>
                </c:pt>
              </c:strCache>
            </c:strRef>
          </c:tx>
          <c:invertIfNegative val="0"/>
          <c:cat>
            <c:strRef>
              <c:f>Difference!$C$30:$D$30</c:f>
              <c:strCache>
                <c:ptCount val="2"/>
                <c:pt idx="0">
                  <c:v>Total</c:v>
                </c:pt>
                <c:pt idx="1">
                  <c:v>Low Income Total</c:v>
                </c:pt>
              </c:strCache>
            </c:strRef>
          </c:cat>
          <c:val>
            <c:numRef>
              <c:f>Difference!$C$33:$D$33</c:f>
              <c:numCache>
                <c:formatCode>0</c:formatCode>
                <c:ptCount val="2"/>
                <c:pt idx="0" formatCode="0.0">
                  <c:v>1.6851772124489486</c:v>
                </c:pt>
                <c:pt idx="1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6-4CD2-9584-13D00256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8560"/>
        <c:axId val="84094976"/>
      </c:barChart>
      <c:catAx>
        <c:axId val="843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Household</a:t>
                </a:r>
                <a:r>
                  <a:rPr lang="en-US" sz="1400" baseline="0"/>
                  <a:t> Group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094976"/>
        <c:crosses val="autoZero"/>
        <c:auto val="1"/>
        <c:lblAlgn val="ctr"/>
        <c:lblOffset val="100"/>
        <c:noMultiLvlLbl val="0"/>
      </c:catAx>
      <c:valAx>
        <c:axId val="840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 ein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53944298629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43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5555555555554"/>
          <c:y val="0.28383858267716533"/>
          <c:w val="0.22777777777777777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Air Quality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Difference!$B$44</c:f>
              <c:strCache>
                <c:ptCount val="1"/>
                <c:pt idx="0">
                  <c:v>CO2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Difference!$E$44</c:f>
              <c:numCache>
                <c:formatCode>_("$"* #,##0_);_("$"* \(#,##0\);_("$"* "-"??_);_(@_)</c:formatCode>
                <c:ptCount val="1"/>
                <c:pt idx="0">
                  <c:v>345117.62019459542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625-9033-677DB9C6BE00}"/>
            </c:ext>
          </c:extLst>
        </c:ser>
        <c:ser>
          <c:idx val="1"/>
          <c:order val="1"/>
          <c:tx>
            <c:strRef>
              <c:f>Difference!$B$45</c:f>
              <c:strCache>
                <c:ptCount val="1"/>
                <c:pt idx="0">
                  <c:v>CO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Difference!$E$45</c:f>
              <c:numCache>
                <c:formatCode>_("$"* #,##0_);_("$"* \(#,##0\);_("$"* "-"??_);_(@_)</c:formatCode>
                <c:ptCount val="1"/>
                <c:pt idx="0">
                  <c:v>59959.788350687857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625-9033-677DB9C6BE00}"/>
            </c:ext>
          </c:extLst>
        </c:ser>
        <c:ser>
          <c:idx val="2"/>
          <c:order val="2"/>
          <c:tx>
            <c:strRef>
              <c:f>Difference!$B$46</c:f>
              <c:strCache>
                <c:ptCount val="1"/>
                <c:pt idx="0">
                  <c:v>NO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Difference!$E$46</c:f>
              <c:numCache>
                <c:formatCode>_("$"* #,##0_);_("$"* \(#,##0\);_("$"* "-"??_);_(@_)</c:formatCode>
                <c:ptCount val="1"/>
                <c:pt idx="0">
                  <c:v>47968.531158385005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625-9033-677DB9C6BE00}"/>
            </c:ext>
          </c:extLst>
        </c:ser>
        <c:ser>
          <c:idx val="3"/>
          <c:order val="3"/>
          <c:tx>
            <c:strRef>
              <c:f>Difference!$B$47</c:f>
              <c:strCache>
                <c:ptCount val="1"/>
                <c:pt idx="0">
                  <c:v>PM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Difference!$E$47</c:f>
              <c:numCache>
                <c:formatCode>_("$"* #,##0_);_("$"* \(#,##0\);_("$"* "-"??_);_(@_)</c:formatCode>
                <c:ptCount val="1"/>
                <c:pt idx="0">
                  <c:v>1071.4974047786454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625-9033-677DB9C6BE00}"/>
            </c:ext>
          </c:extLst>
        </c:ser>
        <c:ser>
          <c:idx val="4"/>
          <c:order val="4"/>
          <c:tx>
            <c:strRef>
              <c:f>Difference!$B$48</c:f>
              <c:strCache>
                <c:ptCount val="1"/>
                <c:pt idx="0">
                  <c:v>VOC Tons</c:v>
                </c:pt>
              </c:strCache>
            </c:strRef>
          </c:tx>
          <c:invertIfNegative val="0"/>
          <c:cat>
            <c:strRef>
              <c:f>Difference!$E$43</c:f>
              <c:strCache>
                <c:ptCount val="1"/>
                <c:pt idx="0">
                  <c:v>Cost Equivalent</c:v>
                </c:pt>
              </c:strCache>
            </c:strRef>
          </c:cat>
          <c:val>
            <c:numRef>
              <c:f>Difference!$E$48</c:f>
              <c:numCache>
                <c:formatCode>_("$"* #,##0_);_("$"* \(#,##0\);_("$"* "-"??_);_(@_)</c:formatCode>
                <c:ptCount val="1"/>
                <c:pt idx="0">
                  <c:v>46839.75211791465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625-9033-677DB9C6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32992"/>
        <c:axId val="84134912"/>
      </c:barChart>
      <c:catAx>
        <c:axId val="841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Cost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34912"/>
        <c:crosses val="autoZero"/>
        <c:auto val="1"/>
        <c:lblAlgn val="ctr"/>
        <c:lblOffset val="100"/>
        <c:noMultiLvlLbl val="0"/>
      </c:catAx>
      <c:valAx>
        <c:axId val="841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Cost</a:t>
                </a:r>
                <a:endParaRPr lang="en-US" sz="1400"/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13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26487314085739"/>
          <c:y val="0.20037146398366876"/>
          <c:w val="0.1560684601924759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</a:t>
            </a:r>
          </a:p>
          <a:p>
            <a:pPr>
              <a:defRPr/>
            </a:pPr>
            <a:r>
              <a:rPr lang="en-US"/>
              <a:t>Percent of the Population </a:t>
            </a:r>
          </a:p>
          <a:p>
            <a:pPr>
              <a:defRPr/>
            </a:pPr>
            <a:r>
              <a:rPr lang="en-US"/>
              <a:t>Using Each Mode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8361111111111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86351706036747"/>
          <c:y val="0.32871536891221931"/>
          <c:w val="0.59271959755030623"/>
          <c:h val="0.39231846019247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Difference!$G$14</c:f>
              <c:strCache>
                <c:ptCount val="1"/>
                <c:pt idx="0">
                  <c:v>Percent of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Difference!$G$15:$G$20</c:f>
              <c:numCache>
                <c:formatCode>0%</c:formatCode>
                <c:ptCount val="6"/>
                <c:pt idx="0">
                  <c:v>7.7030250633949859E-3</c:v>
                </c:pt>
                <c:pt idx="1">
                  <c:v>-1.5017516025428446E-2</c:v>
                </c:pt>
                <c:pt idx="2">
                  <c:v>-2.7199405908880536E-2</c:v>
                </c:pt>
                <c:pt idx="3">
                  <c:v>-2.081711382805726E-2</c:v>
                </c:pt>
                <c:pt idx="4">
                  <c:v>3.2105167850272232E-2</c:v>
                </c:pt>
                <c:pt idx="5">
                  <c:v>4.1848054935924583E-3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317-A4E6-B43B6F19AF2B}"/>
            </c:ext>
          </c:extLst>
        </c:ser>
        <c:ser>
          <c:idx val="1"/>
          <c:order val="1"/>
          <c:tx>
            <c:strRef>
              <c:f>Difference!$H$14</c:f>
              <c:strCache>
                <c:ptCount val="1"/>
                <c:pt idx="0">
                  <c:v>Percent of Low Income Population Using Mode</c:v>
                </c:pt>
              </c:strCache>
            </c:strRef>
          </c:tx>
          <c:invertIfNegative val="0"/>
          <c:cat>
            <c:strRef>
              <c:f>Difference!$B$15:$B$20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Difference!$H$15:$H$20</c:f>
              <c:numCache>
                <c:formatCode>0%</c:formatCode>
                <c:ptCount val="6"/>
                <c:pt idx="0">
                  <c:v>5.9545656594132024E-2</c:v>
                </c:pt>
                <c:pt idx="1">
                  <c:v>-2.1972723307550845E-2</c:v>
                </c:pt>
                <c:pt idx="2">
                  <c:v>-4.5272990645165212E-2</c:v>
                </c:pt>
                <c:pt idx="3">
                  <c:v>-0.41067918214384336</c:v>
                </c:pt>
                <c:pt idx="4">
                  <c:v>2.1546032971619999E-2</c:v>
                </c:pt>
                <c:pt idx="5">
                  <c:v>3.0124224761626656E-3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E-4317-A4E6-B43B6F19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3184"/>
        <c:axId val="84175104"/>
      </c:barChart>
      <c:catAx>
        <c:axId val="84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175104"/>
        <c:crosses val="autoZero"/>
        <c:auto val="1"/>
        <c:lblAlgn val="ctr"/>
        <c:lblOffset val="100"/>
        <c:noMultiLvlLbl val="0"/>
      </c:catAx>
      <c:valAx>
        <c:axId val="8417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Diffrence in Population Share</a:t>
                </a:r>
              </a:p>
            </c:rich>
          </c:tx>
          <c:layout>
            <c:manualLayout>
              <c:xMode val="edge"/>
              <c:yMode val="edge"/>
              <c:x val="1.6776027996500452E-3"/>
              <c:y val="0.1910414843977836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84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58311461067362"/>
          <c:y val="0.33464895013123358"/>
          <c:w val="0.22875021872265969"/>
          <c:h val="0.52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Average Minutes per Day spent in each mode </a:t>
            </a:r>
          </a:p>
        </c:rich>
      </c:tx>
      <c:layout>
        <c:manualLayout>
          <c:xMode val="edge"/>
          <c:yMode val="edge"/>
          <c:x val="0.1367915573053368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23623869932925046"/>
          <c:w val="0.59277559055118112"/>
          <c:h val="0.5496099445902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Difference!$O$14</c:f>
              <c:strCache>
                <c:ptCount val="1"/>
                <c:pt idx="0">
                  <c:v>minutes per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Difference!$O$15:$O$20</c:f>
              <c:numCache>
                <c:formatCode>0</c:formatCode>
                <c:ptCount val="6"/>
                <c:pt idx="0">
                  <c:v>1.4653198490197923</c:v>
                </c:pt>
                <c:pt idx="1">
                  <c:v>0.98991316023715115</c:v>
                </c:pt>
                <c:pt idx="2">
                  <c:v>0.19579505471605785</c:v>
                </c:pt>
                <c:pt idx="3">
                  <c:v>33.21719834982126</c:v>
                </c:pt>
                <c:pt idx="4">
                  <c:v>-0.41305186059727816</c:v>
                </c:pt>
                <c:pt idx="5">
                  <c:v>1.6851772124489486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6-4B8C-A3D0-F812E29C478B}"/>
            </c:ext>
          </c:extLst>
        </c:ser>
        <c:ser>
          <c:idx val="1"/>
          <c:order val="1"/>
          <c:tx>
            <c:strRef>
              <c:f>Difference!$P$14</c:f>
              <c:strCache>
                <c:ptCount val="1"/>
                <c:pt idx="0">
                  <c:v>minutes per Low Income Mode User</c:v>
                </c:pt>
              </c:strCache>
            </c:strRef>
          </c:tx>
          <c:invertIfNegative val="0"/>
          <c:cat>
            <c:strRef>
              <c:f>Difference!$L$15:$L$20</c:f>
              <c:strCache>
                <c:ptCount val="6"/>
                <c:pt idx="0">
                  <c:v>SOV</c:v>
                </c:pt>
                <c:pt idx="1">
                  <c:v>HOV2</c:v>
                </c:pt>
                <c:pt idx="2">
                  <c:v>HOV3+</c:v>
                </c:pt>
                <c:pt idx="3">
                  <c:v>Transit</c:v>
                </c:pt>
                <c:pt idx="4">
                  <c:v>Walk</c:v>
                </c:pt>
                <c:pt idx="5">
                  <c:v>Bike</c:v>
                </c:pt>
              </c:strCache>
            </c:strRef>
          </c:cat>
          <c:val>
            <c:numRef>
              <c:f>Difference!$P$15:$P$20</c:f>
              <c:numCache>
                <c:formatCode>0</c:formatCode>
                <c:ptCount val="6"/>
                <c:pt idx="0">
                  <c:v>6.0358934869590755</c:v>
                </c:pt>
                <c:pt idx="1">
                  <c:v>2.4583436637336078</c:v>
                </c:pt>
                <c:pt idx="2">
                  <c:v>0.69187617350759467</c:v>
                </c:pt>
                <c:pt idx="3">
                  <c:v>75.727546973258882</c:v>
                </c:pt>
                <c:pt idx="4">
                  <c:v>-2.4485128883301996</c:v>
                </c:pt>
                <c:pt idx="5">
                  <c:v>4.3835588625939863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6-4B8C-A3D0-F812E29C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11584"/>
        <c:axId val="84213760"/>
      </c:barChart>
      <c:catAx>
        <c:axId val="842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213760"/>
        <c:crosses val="autoZero"/>
        <c:auto val="1"/>
        <c:lblAlgn val="ctr"/>
        <c:lblOffset val="100"/>
        <c:noMultiLvlLbl val="0"/>
      </c:catAx>
      <c:valAx>
        <c:axId val="842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Difference in Time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2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97244094488194"/>
          <c:y val="0.34859580052493438"/>
          <c:w val="0.21502755905511811"/>
          <c:h val="0.34875765529308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</a:p>
          <a:p>
            <a:pPr>
              <a:defRPr/>
            </a:pPr>
            <a:r>
              <a:rPr lang="en-US"/>
              <a:t>Average Daily Cost per Person</a:t>
            </a:r>
          </a:p>
        </c:rich>
      </c:tx>
      <c:layout>
        <c:manualLayout>
          <c:xMode val="edge"/>
          <c:yMode val="edge"/>
          <c:x val="0.19079855643044616"/>
          <c:y val="4.62962962962962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1351706036745"/>
          <c:y val="0.2502143482064742"/>
          <c:w val="0.76038648293963262"/>
          <c:h val="0.33164224263633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Difference!$N$3</c:f>
              <c:strCache>
                <c:ptCount val="1"/>
                <c:pt idx="0">
                  <c:v>Value per Person</c:v>
                </c:pt>
              </c:strCache>
            </c:strRef>
          </c:tx>
          <c:invertIfNegative val="0"/>
          <c:cat>
            <c:strRef>
              <c:f>Difference!$L$4:$L$11</c:f>
              <c:strCache>
                <c:ptCount val="8"/>
                <c:pt idx="0">
                  <c:v>Travel Time</c:v>
                </c:pt>
                <c:pt idx="1">
                  <c:v>Auto Operating and Tolls</c:v>
                </c:pt>
                <c:pt idx="2">
                  <c:v>Auto Ownership</c:v>
                </c:pt>
                <c:pt idx="3">
                  <c:v>Transit Fares</c:v>
                </c:pt>
                <c:pt idx="4">
                  <c:v>Parking</c:v>
                </c:pt>
                <c:pt idx="5">
                  <c:v>Health</c:v>
                </c:pt>
                <c:pt idx="6">
                  <c:v>Safety</c:v>
                </c:pt>
                <c:pt idx="7">
                  <c:v>Air Quality</c:v>
                </c:pt>
              </c:strCache>
            </c:strRef>
          </c:cat>
          <c:val>
            <c:numRef>
              <c:f>Difference!$N$4:$N$11</c:f>
              <c:numCache>
                <c:formatCode>_("$"* #,##0.00_);_("$"* \(#,##0.00\);_("$"* "-"??_);_(@_)</c:formatCode>
                <c:ptCount val="8"/>
                <c:pt idx="0">
                  <c:v>1.900102815382489</c:v>
                </c:pt>
                <c:pt idx="1">
                  <c:v>-0.19780279112785903</c:v>
                </c:pt>
                <c:pt idx="2">
                  <c:v>-0.11209198851081581</c:v>
                </c:pt>
                <c:pt idx="3">
                  <c:v>2.5819461268989263E-2</c:v>
                </c:pt>
                <c:pt idx="4">
                  <c:v>3.4931875408082846E-2</c:v>
                </c:pt>
                <c:pt idx="5">
                  <c:v>0</c:v>
                </c:pt>
                <c:pt idx="6">
                  <c:v>-0.15793207808666665</c:v>
                </c:pt>
                <c:pt idx="7">
                  <c:v>-7.4875447193957112E-2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19-8239-E5EAF6A9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1008"/>
        <c:axId val="84252928"/>
      </c:barChart>
      <c:catAx>
        <c:axId val="842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Cost Category</a:t>
                </a:r>
              </a:p>
            </c:rich>
          </c:tx>
          <c:layout>
            <c:manualLayout>
              <c:xMode val="edge"/>
              <c:yMode val="edge"/>
              <c:x val="0.38984142607174099"/>
              <c:y val="0.8627314814814814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252928"/>
        <c:crosses val="autoZero"/>
        <c:auto val="1"/>
        <c:lblAlgn val="ctr"/>
        <c:lblOffset val="100"/>
        <c:noMultiLvlLbl val="0"/>
      </c:catAx>
      <c:valAx>
        <c:axId val="8425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Daily Cost</a:t>
                </a:r>
              </a:p>
            </c:rich>
          </c:tx>
          <c:layout>
            <c:manualLayout>
              <c:xMode val="edge"/>
              <c:yMode val="edge"/>
              <c:x val="0"/>
              <c:y val="0.12058471857684457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4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</a:t>
            </a:r>
            <a:r>
              <a:rPr lang="en-US"/>
              <a:t>Daily Collisions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Difference!$C$37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Difference!$B$38:$B$40</c:f>
              <c:strCache>
                <c:ptCount val="3"/>
                <c:pt idx="0">
                  <c:v>Injury Collisions</c:v>
                </c:pt>
                <c:pt idx="1">
                  <c:v>Property Damage Collisions</c:v>
                </c:pt>
                <c:pt idx="2">
                  <c:v>Fatality Collisions</c:v>
                </c:pt>
              </c:strCache>
            </c:strRef>
          </c:cat>
          <c:val>
            <c:numRef>
              <c:f>Difference!$C$38:$C$40</c:f>
              <c:numCache>
                <c:formatCode>0</c:formatCode>
                <c:ptCount val="3"/>
                <c:pt idx="0">
                  <c:v>7.56173332192553</c:v>
                </c:pt>
                <c:pt idx="1">
                  <c:v>13.942078776257276</c:v>
                </c:pt>
                <c:pt idx="2" formatCode="0.0">
                  <c:v>0.14000903572946255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6-4185-B5BC-D814F7FD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12672"/>
        <c:axId val="84423040"/>
      </c:barChart>
      <c:catAx>
        <c:axId val="844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Collison Category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4423040"/>
        <c:crosses val="autoZero"/>
        <c:auto val="1"/>
        <c:lblAlgn val="ctr"/>
        <c:lblOffset val="100"/>
        <c:noMultiLvlLbl val="0"/>
      </c:catAx>
      <c:valAx>
        <c:axId val="844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Difference in Collisions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4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Health Benefit </a:t>
            </a:r>
          </a:p>
          <a:p>
            <a:pPr>
              <a:defRPr/>
            </a:pPr>
            <a:r>
              <a:rPr lang="en-US"/>
              <a:t>of Active Transport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HeatResults!$R$4</c:f>
              <c:strCache>
                <c:ptCount val="1"/>
                <c:pt idx="0">
                  <c:v>Walking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HeatResults!$R$8</c:f>
              <c:numCache>
                <c:formatCode>_("$"* #,##0_);_("$"* \(#,##0\);_("$"* "-"??_);_(@_)</c:formatCode>
                <c:ptCount val="1"/>
                <c:pt idx="0">
                  <c:v>5296600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3C8-BA8F-1A9617BA348E}"/>
            </c:ext>
          </c:extLst>
        </c:ser>
        <c:ser>
          <c:idx val="1"/>
          <c:order val="1"/>
          <c:tx>
            <c:strRef>
              <c:f>HeatResults!$S$4</c:f>
              <c:strCache>
                <c:ptCount val="1"/>
                <c:pt idx="0">
                  <c:v>Cycling</c:v>
                </c:pt>
              </c:strCache>
            </c:strRef>
          </c:tx>
          <c:invertIfNegative val="0"/>
          <c:cat>
            <c:strRef>
              <c:f>HeatResults!$Q$8</c:f>
              <c:strCache>
                <c:ptCount val="1"/>
                <c:pt idx="0">
                  <c:v>Health Benefits</c:v>
                </c:pt>
              </c:strCache>
            </c:strRef>
          </c:cat>
          <c:val>
            <c:numRef>
              <c:f>HeatResults!$S$8</c:f>
              <c:numCache>
                <c:formatCode>_("$"* #,##0_);_("$"* \(#,##0\);_("$"* "-"??_);_(@_)</c:formatCode>
                <c:ptCount val="1"/>
                <c:pt idx="0">
                  <c:v>1640146.6666666667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3C8-BA8F-1A9617BA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56192"/>
        <c:axId val="84458112"/>
      </c:barChart>
      <c:catAx>
        <c:axId val="844561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</a:t>
                </a:r>
              </a:p>
            </c:rich>
          </c:tx>
          <c:layout>
            <c:manualLayout>
              <c:xMode val="edge"/>
              <c:yMode val="edge"/>
              <c:x val="0.47064741907261592"/>
              <c:y val="0.895138888888888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84458112"/>
        <c:crosses val="autoZero"/>
        <c:auto val="1"/>
        <c:lblAlgn val="ctr"/>
        <c:lblOffset val="100"/>
        <c:noMultiLvlLbl val="0"/>
      </c:catAx>
      <c:valAx>
        <c:axId val="844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Health Benefit Improvement from Active Transport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7987022455526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4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66675</xdr:rowOff>
    </xdr:from>
    <xdr:to>
      <xdr:col>17</xdr:col>
      <xdr:colOff>304800</xdr:colOff>
      <xdr:row>16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19</xdr:row>
      <xdr:rowOff>0</xdr:rowOff>
    </xdr:from>
    <xdr:to>
      <xdr:col>27</xdr:col>
      <xdr:colOff>85725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37</xdr:row>
      <xdr:rowOff>0</xdr:rowOff>
    </xdr:from>
    <xdr:to>
      <xdr:col>8</xdr:col>
      <xdr:colOff>238125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36</xdr:row>
      <xdr:rowOff>180975</xdr:rowOff>
    </xdr:from>
    <xdr:to>
      <xdr:col>17</xdr:col>
      <xdr:colOff>323850</xdr:colOff>
      <xdr:row>51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36</xdr:row>
      <xdr:rowOff>123825</xdr:rowOff>
    </xdr:from>
    <xdr:to>
      <xdr:col>27</xdr:col>
      <xdr:colOff>76200</xdr:colOff>
      <xdr:row>51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19</xdr:row>
      <xdr:rowOff>47625</xdr:rowOff>
    </xdr:from>
    <xdr:to>
      <xdr:col>8</xdr:col>
      <xdr:colOff>266700</xdr:colOff>
      <xdr:row>33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581024</xdr:colOff>
      <xdr:row>2</xdr:row>
      <xdr:rowOff>152400</xdr:rowOff>
    </xdr:from>
    <xdr:to>
      <xdr:col>8</xdr:col>
      <xdr:colOff>276224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400050</xdr:colOff>
      <xdr:row>2</xdr:row>
      <xdr:rowOff>38100</xdr:rowOff>
    </xdr:from>
    <xdr:to>
      <xdr:col>27</xdr:col>
      <xdr:colOff>95250</xdr:colOff>
      <xdr:row>16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5" name="Picture 4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6" y="438151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11</xdr:row>
      <xdr:rowOff>4764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19051</xdr:rowOff>
    </xdr:from>
    <xdr:to>
      <xdr:col>9</xdr:col>
      <xdr:colOff>228601</xdr:colOff>
      <xdr:row>10</xdr:row>
      <xdr:rowOff>100014</xdr:rowOff>
    </xdr:to>
    <xdr:pic>
      <xdr:nvPicPr>
        <xdr:cNvPr id="2" name="Picture 1" descr="http://blog.recursiveprocess.com/wp-content/uploads/2013/09/cat_with_calculator-600x450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6" y="619126"/>
          <a:ext cx="2381250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114300</xdr:rowOff>
    </xdr:from>
    <xdr:to>
      <xdr:col>13</xdr:col>
      <xdr:colOff>333375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0"/>
          <a:ext cx="8143875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27</xdr:row>
      <xdr:rowOff>133350</xdr:rowOff>
    </xdr:from>
    <xdr:to>
      <xdr:col>16</xdr:col>
      <xdr:colOff>31021</xdr:colOff>
      <xdr:row>61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00850"/>
          <a:ext cx="9784620" cy="642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57150</xdr:rowOff>
    </xdr:from>
    <xdr:to>
      <xdr:col>8</xdr:col>
      <xdr:colOff>304800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19050</xdr:rowOff>
    </xdr:from>
    <xdr:to>
      <xdr:col>17</xdr:col>
      <xdr:colOff>314324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57150</xdr:rowOff>
    </xdr:from>
    <xdr:to>
      <xdr:col>17</xdr:col>
      <xdr:colOff>314325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47625</xdr:rowOff>
    </xdr:from>
    <xdr:to>
      <xdr:col>8</xdr:col>
      <xdr:colOff>304800</xdr:colOff>
      <xdr:row>33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2</xdr:row>
      <xdr:rowOff>9525</xdr:rowOff>
    </xdr:from>
    <xdr:to>
      <xdr:col>17</xdr:col>
      <xdr:colOff>314324</xdr:colOff>
      <xdr:row>16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19</xdr:row>
      <xdr:rowOff>47625</xdr:rowOff>
    </xdr:from>
    <xdr:to>
      <xdr:col>17</xdr:col>
      <xdr:colOff>314325</xdr:colOff>
      <xdr:row>33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W28" sqref="W28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127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J19" sqref="J19"/>
    </sheetView>
  </sheetViews>
  <sheetFormatPr defaultRowHeight="15" x14ac:dyDescent="0.25"/>
  <cols>
    <col min="1" max="16384" width="9.140625" style="15"/>
  </cols>
  <sheetData>
    <row r="1" spans="1:13" s="7" customFormat="1" ht="26.25" thickBot="1" x14ac:dyDescent="0.4">
      <c r="A1" s="4" t="s">
        <v>125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28" sqref="I28"/>
    </sheetView>
  </sheetViews>
  <sheetFormatPr defaultRowHeight="14.25" x14ac:dyDescent="0.2"/>
  <cols>
    <col min="1" max="1" width="3.710937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140625" style="10" customWidth="1"/>
    <col min="18" max="16384" width="9.140625" style="10"/>
  </cols>
  <sheetData>
    <row r="1" spans="1:20" s="7" customFormat="1" ht="26.25" thickBot="1" x14ac:dyDescent="0.4">
      <c r="A1" s="4" t="s">
        <v>21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102</v>
      </c>
      <c r="C3" s="12">
        <f>SUM(J15:J20,F24:F27,E38:E40,E44:E48)</f>
        <v>217773535.78311545</v>
      </c>
      <c r="D3" s="13"/>
      <c r="E3" s="10"/>
      <c r="F3" s="14" t="s">
        <v>82</v>
      </c>
      <c r="G3" s="15"/>
      <c r="H3" s="14"/>
      <c r="I3" s="14"/>
      <c r="J3" s="10"/>
      <c r="K3" s="16"/>
      <c r="L3" s="17" t="s">
        <v>93</v>
      </c>
      <c r="M3" s="18" t="s">
        <v>99</v>
      </c>
      <c r="N3" s="19" t="s">
        <v>100</v>
      </c>
      <c r="O3" s="10"/>
      <c r="P3" s="10"/>
    </row>
    <row r="4" spans="1:20" ht="15" x14ac:dyDescent="0.25">
      <c r="B4" s="20" t="s">
        <v>90</v>
      </c>
      <c r="C4" s="21">
        <f>C3/C7</f>
        <v>58.144064695432903</v>
      </c>
      <c r="D4" s="22"/>
      <c r="E4" s="14"/>
      <c r="F4" s="14" t="s">
        <v>81</v>
      </c>
      <c r="G4" s="15"/>
      <c r="H4" s="14"/>
      <c r="I4" s="14"/>
      <c r="J4" s="10"/>
      <c r="K4" s="16"/>
      <c r="L4" s="23" t="s">
        <v>51</v>
      </c>
      <c r="M4" s="24">
        <f>SUM(J15:J20)</f>
        <v>134407682.13953516</v>
      </c>
      <c r="N4" s="25">
        <f>M4/$C$7</f>
        <v>35.885944257558556</v>
      </c>
      <c r="O4" s="10"/>
      <c r="P4" s="10"/>
    </row>
    <row r="5" spans="1:20" x14ac:dyDescent="0.2">
      <c r="B5" s="20" t="s">
        <v>123</v>
      </c>
      <c r="C5" s="126" t="s">
        <v>147</v>
      </c>
      <c r="D5" s="27"/>
      <c r="E5" s="14"/>
      <c r="F5" s="28"/>
      <c r="G5" s="28"/>
      <c r="H5" s="14"/>
      <c r="I5" s="14"/>
      <c r="J5" s="10"/>
      <c r="K5" s="29"/>
      <c r="L5" s="23" t="s">
        <v>96</v>
      </c>
      <c r="M5" s="24">
        <f>F24</f>
        <v>12595832.763609741</v>
      </c>
      <c r="N5" s="25">
        <f t="shared" ref="N5:N11" si="0">M5/$C$7</f>
        <v>3.3630023614511244</v>
      </c>
      <c r="O5" s="10"/>
      <c r="P5" s="10"/>
    </row>
    <row r="6" spans="1:20" x14ac:dyDescent="0.2">
      <c r="B6" s="20" t="s">
        <v>85</v>
      </c>
      <c r="C6" s="30">
        <f>SUM(M15:M20)</f>
        <v>86.126266218140543</v>
      </c>
      <c r="D6" s="31" t="s">
        <v>103</v>
      </c>
      <c r="E6" s="14"/>
      <c r="F6" s="10"/>
      <c r="G6" s="10"/>
      <c r="H6" s="14"/>
      <c r="I6" s="14"/>
      <c r="J6" s="10"/>
      <c r="K6" s="29"/>
      <c r="L6" s="23" t="s">
        <v>101</v>
      </c>
      <c r="M6" s="24">
        <f>F25</f>
        <v>58745138.403274603</v>
      </c>
      <c r="N6" s="25">
        <f t="shared" si="0"/>
        <v>15.684555589270023</v>
      </c>
      <c r="O6" s="10"/>
      <c r="P6" s="10"/>
    </row>
    <row r="7" spans="1:20" x14ac:dyDescent="0.2">
      <c r="B7" s="20" t="s">
        <v>15</v>
      </c>
      <c r="C7" s="32">
        <f>RawBaseline!C3</f>
        <v>3745413</v>
      </c>
      <c r="D7" s="31"/>
      <c r="E7" s="14"/>
      <c r="F7" s="14"/>
      <c r="G7" s="14"/>
      <c r="H7" s="14"/>
      <c r="I7" s="14"/>
      <c r="J7" s="10"/>
      <c r="K7" s="29"/>
      <c r="L7" s="23" t="s">
        <v>84</v>
      </c>
      <c r="M7" s="24">
        <f>F26</f>
        <v>503947.85000004398</v>
      </c>
      <c r="N7" s="25">
        <f t="shared" si="0"/>
        <v>0.13455067571988563</v>
      </c>
      <c r="O7" s="10"/>
      <c r="P7" s="10"/>
    </row>
    <row r="8" spans="1:20" ht="15" thickBot="1" x14ac:dyDescent="0.25">
      <c r="A8" s="33"/>
      <c r="B8" s="34" t="s">
        <v>67</v>
      </c>
      <c r="C8" s="35">
        <f>RawBaseline!B3</f>
        <v>440263</v>
      </c>
      <c r="D8" s="36"/>
      <c r="E8" s="14"/>
      <c r="F8" s="14"/>
      <c r="G8" s="14"/>
      <c r="H8" s="14"/>
      <c r="I8" s="14"/>
      <c r="J8" s="14"/>
      <c r="K8" s="29"/>
      <c r="L8" s="23" t="s">
        <v>94</v>
      </c>
      <c r="M8" s="24">
        <f>F27</f>
        <v>2144119.9397972901</v>
      </c>
      <c r="N8" s="25">
        <f t="shared" si="0"/>
        <v>0.57246555714878178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23" t="s">
        <v>97</v>
      </c>
      <c r="M10" s="24">
        <f>SUM(E38:E40)</f>
        <v>6244281.4312684126</v>
      </c>
      <c r="N10" s="25">
        <f t="shared" si="0"/>
        <v>1.6671810108173417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38" t="s">
        <v>98</v>
      </c>
      <c r="M11" s="39">
        <f>SUM(E44:E48)</f>
        <v>3132533.2556302315</v>
      </c>
      <c r="N11" s="40">
        <f t="shared" si="0"/>
        <v>0.83636524346720409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SUMIF(RawBaseline!$A$23:$A$30,'Baseline Metrics'!$B15,RawBaseline!$D$23:$D$30)</f>
        <v>1982534.7314162899</v>
      </c>
      <c r="D15" s="49">
        <f>SUMIF(RawBaseline!$A$23:$A$30,'Baseline Metrics'!$B15,RawBaseline!$B$23:$B$30)</f>
        <v>146870.333044022</v>
      </c>
      <c r="E15" s="49">
        <f>RawBaseline!E43</f>
        <v>1845633</v>
      </c>
      <c r="F15" s="49">
        <f>RawBaseline!E63</f>
        <v>161956</v>
      </c>
      <c r="G15" s="51">
        <f>E15/$C$7</f>
        <v>0.49277155816995349</v>
      </c>
      <c r="H15" s="51">
        <f>F15/$C$8</f>
        <v>0.36786193706943349</v>
      </c>
      <c r="I15" s="52">
        <v>25</v>
      </c>
      <c r="J15" s="53">
        <f t="shared" ref="J15:J20" si="1">C15*I15</f>
        <v>49563368.285407245</v>
      </c>
      <c r="K15" s="54"/>
      <c r="L15" s="55" t="s">
        <v>60</v>
      </c>
      <c r="M15" s="56">
        <f t="shared" ref="M15:M20" si="2">C15/$C$7*$R$15</f>
        <v>31.759403805395401</v>
      </c>
      <c r="N15" s="57">
        <f t="shared" ref="N15:N20" si="3">D15/$C$8*$R$15</f>
        <v>20.015808693079634</v>
      </c>
      <c r="O15" s="58">
        <f t="shared" ref="O15:P20" si="4">C15/E15*60</f>
        <v>64.450561885801449</v>
      </c>
      <c r="P15" s="59">
        <f t="shared" si="4"/>
        <v>54.411197996007068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SUMIF(RawBaseline!$A$23:$A$30,'Baseline Metrics'!$B16,RawBaseline!$D$23:$D$30)</f>
        <v>935407.64071463002</v>
      </c>
      <c r="D16" s="49">
        <f>SUMIF(RawBaseline!$A$23:$A$30,'Baseline Metrics'!$B16,RawBaseline!$B$23:$B$30)</f>
        <v>95144.347853686995</v>
      </c>
      <c r="E16" s="49">
        <f>RawBaseline!C43</f>
        <v>1412252</v>
      </c>
      <c r="F16" s="49">
        <f>RawBaseline!C63</f>
        <v>149538</v>
      </c>
      <c r="G16" s="62">
        <f t="shared" ref="G16:G20" si="5">E16/$C$7</f>
        <v>0.3770617552723825</v>
      </c>
      <c r="H16" s="62">
        <f t="shared" ref="H16:H20" si="6">F16/$C$8</f>
        <v>0.33965606921317487</v>
      </c>
      <c r="I16" s="63">
        <v>25</v>
      </c>
      <c r="J16" s="64">
        <f t="shared" si="1"/>
        <v>23385191.017865751</v>
      </c>
      <c r="K16" s="54"/>
      <c r="L16" s="55" t="s">
        <v>58</v>
      </c>
      <c r="M16" s="65">
        <f t="shared" si="2"/>
        <v>14.984851722060505</v>
      </c>
      <c r="N16" s="30">
        <f t="shared" si="3"/>
        <v>12.966478834744731</v>
      </c>
      <c r="O16" s="66">
        <f t="shared" si="4"/>
        <v>39.741107424792318</v>
      </c>
      <c r="P16" s="67">
        <f t="shared" si="4"/>
        <v>38.175319124377879</v>
      </c>
    </row>
    <row r="17" spans="2:16" x14ac:dyDescent="0.2">
      <c r="B17" s="48" t="s">
        <v>59</v>
      </c>
      <c r="C17" s="49">
        <f>SUMIF(RawBaseline!$A$23:$A$30,'Baseline Metrics'!$B17,RawBaseline!$D$23:$D$30)</f>
        <v>615282.93037830701</v>
      </c>
      <c r="D17" s="49">
        <f>SUMIF(RawBaseline!$A$23:$A$30,'Baseline Metrics'!$B17,RawBaseline!$B$23:$B$30)</f>
        <v>58471.533332225998</v>
      </c>
      <c r="E17" s="49">
        <f>RawBaseline!D43</f>
        <v>942434</v>
      </c>
      <c r="F17" s="49">
        <f>RawBaseline!D63</f>
        <v>95276</v>
      </c>
      <c r="G17" s="62">
        <f t="shared" si="5"/>
        <v>0.25162351922204573</v>
      </c>
      <c r="H17" s="62">
        <f t="shared" si="6"/>
        <v>0.21640701126372192</v>
      </c>
      <c r="I17" s="63">
        <v>25</v>
      </c>
      <c r="J17" s="64">
        <f t="shared" si="1"/>
        <v>15382073.259457676</v>
      </c>
      <c r="K17" s="54"/>
      <c r="L17" s="55" t="s">
        <v>59</v>
      </c>
      <c r="M17" s="65">
        <f t="shared" si="2"/>
        <v>9.8565834589398875</v>
      </c>
      <c r="N17" s="30">
        <f t="shared" si="3"/>
        <v>7.9686278427520811</v>
      </c>
      <c r="O17" s="66">
        <f t="shared" si="4"/>
        <v>39.171948192338583</v>
      </c>
      <c r="P17" s="67">
        <f t="shared" si="4"/>
        <v>36.822410679851799</v>
      </c>
    </row>
    <row r="18" spans="2:16" x14ac:dyDescent="0.2">
      <c r="B18" s="48" t="s">
        <v>62</v>
      </c>
      <c r="C18" s="49">
        <f>SUMIF(RawBaseline!$A$23:$A$30,'Baseline Metrics'!$B18,RawBaseline!$D$23:$D$30)</f>
        <v>308150.83533886302</v>
      </c>
      <c r="D18" s="49">
        <f>SUMIF(RawBaseline!$A$23:$A$30,'Baseline Metrics'!$B18,RawBaseline!$B$23:$B$30)</f>
        <v>51303.543470418699</v>
      </c>
      <c r="E18" s="49">
        <f>RawScenario!G43</f>
        <v>362554</v>
      </c>
      <c r="F18" s="49">
        <f>RawBaseline!G43</f>
        <v>222764</v>
      </c>
      <c r="G18" s="62">
        <f t="shared" si="5"/>
        <v>9.6799471780548638E-2</v>
      </c>
      <c r="H18" s="62">
        <f t="shared" si="6"/>
        <v>0.5059793805066517</v>
      </c>
      <c r="I18" s="63">
        <v>25</v>
      </c>
      <c r="J18" s="64">
        <f t="shared" si="1"/>
        <v>7703770.8834715756</v>
      </c>
      <c r="K18" s="54"/>
      <c r="L18" s="55" t="s">
        <v>62</v>
      </c>
      <c r="M18" s="65">
        <f t="shared" si="2"/>
        <v>4.9364516330593666</v>
      </c>
      <c r="N18" s="30">
        <f t="shared" si="3"/>
        <v>6.9917585811778906</v>
      </c>
      <c r="O18" s="66">
        <f t="shared" si="4"/>
        <v>50.996679447287249</v>
      </c>
      <c r="P18" s="67">
        <f t="shared" si="4"/>
        <v>13.818267800116365</v>
      </c>
    </row>
    <row r="19" spans="2:16" x14ac:dyDescent="0.2">
      <c r="B19" s="48" t="s">
        <v>63</v>
      </c>
      <c r="C19" s="49">
        <f>SUMIF(RawBaseline!$A$23:$A$30,'Baseline Metrics'!$B19,RawBaseline!$D$23:$D$30)</f>
        <v>1396649.27340612</v>
      </c>
      <c r="D19" s="49">
        <f>SUMIF(RawBaseline!$A$23:$A$30,'Baseline Metrics'!$B19,RawBaseline!$B$23:$B$30)</f>
        <v>210568.17040205299</v>
      </c>
      <c r="E19" s="49">
        <f>RawBaseline!H43</f>
        <v>921680</v>
      </c>
      <c r="F19" s="49">
        <f>RawBaseline!H63</f>
        <v>125840</v>
      </c>
      <c r="G19" s="62">
        <f t="shared" si="5"/>
        <v>0.2460823412531542</v>
      </c>
      <c r="H19" s="62">
        <f t="shared" si="6"/>
        <v>0.28582915212043708</v>
      </c>
      <c r="I19" s="63">
        <v>25</v>
      </c>
      <c r="J19" s="64">
        <f t="shared" si="1"/>
        <v>34916231.835152999</v>
      </c>
      <c r="K19" s="54"/>
      <c r="L19" s="55" t="s">
        <v>63</v>
      </c>
      <c r="M19" s="65">
        <f t="shared" si="2"/>
        <v>22.373755952779359</v>
      </c>
      <c r="N19" s="30">
        <f t="shared" si="3"/>
        <v>28.696688625033627</v>
      </c>
      <c r="O19" s="66">
        <f t="shared" si="4"/>
        <v>90.919794727418633</v>
      </c>
      <c r="P19" s="67">
        <f t="shared" si="4"/>
        <v>100.39804691769849</v>
      </c>
    </row>
    <row r="20" spans="2:16" x14ac:dyDescent="0.2">
      <c r="B20" s="68" t="s">
        <v>57</v>
      </c>
      <c r="C20" s="163">
        <f>SUMIF(RawBaseline!$A$23:$A$30,'Baseline Metrics'!$B20,RawBaseline!$D$23:$D$30)</f>
        <v>138281.874327197</v>
      </c>
      <c r="D20" s="163">
        <f>SUMIF(RawBaseline!$A$23:$A$30,'Baseline Metrics'!$B20,RawBaseline!$B$23:$B$30)</f>
        <v>20078.151816686699</v>
      </c>
      <c r="E20" s="163">
        <f>RawBaseline!B43</f>
        <v>135714</v>
      </c>
      <c r="F20" s="163">
        <f>RawBaseline!B63</f>
        <v>19872</v>
      </c>
      <c r="G20" s="71">
        <f t="shared" si="5"/>
        <v>3.6234722312332442E-2</v>
      </c>
      <c r="H20" s="71">
        <f t="shared" si="6"/>
        <v>4.5136656952775953E-2</v>
      </c>
      <c r="I20" s="72">
        <v>25</v>
      </c>
      <c r="J20" s="73">
        <f t="shared" si="1"/>
        <v>3457046.858179925</v>
      </c>
      <c r="K20" s="54"/>
      <c r="L20" s="74" t="s">
        <v>57</v>
      </c>
      <c r="M20" s="75">
        <f t="shared" si="2"/>
        <v>2.215219645906024</v>
      </c>
      <c r="N20" s="76">
        <f t="shared" si="3"/>
        <v>2.7362942354937889</v>
      </c>
      <c r="O20" s="77">
        <f t="shared" si="4"/>
        <v>61.135273145230556</v>
      </c>
      <c r="P20" s="78">
        <f t="shared" si="4"/>
        <v>60.622439060044385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SUM(RawBaseline!C25:C27)</f>
        <v>12595832.763609741</v>
      </c>
      <c r="D24" s="86">
        <f>SUM(RawBaseline!E25:E27)</f>
        <v>926729.70397227502</v>
      </c>
      <c r="E24" s="52" t="s">
        <v>83</v>
      </c>
      <c r="F24" s="53">
        <f>C24</f>
        <v>12595832.763609741</v>
      </c>
      <c r="G24" s="28"/>
      <c r="J24" s="87"/>
      <c r="L24" s="55" t="s">
        <v>0</v>
      </c>
      <c r="M24" s="88">
        <f>C24/$C$7</f>
        <v>3.3630023614511244</v>
      </c>
      <c r="N24" s="89">
        <f>D24/$C$8</f>
        <v>2.1049456892182059</v>
      </c>
      <c r="O24" s="90">
        <f>C24/E15</f>
        <v>6.8246681564589169</v>
      </c>
      <c r="P24" s="91">
        <f>D24/F15</f>
        <v>5.7221078809817172</v>
      </c>
    </row>
    <row r="25" spans="2:16" x14ac:dyDescent="0.2">
      <c r="B25" s="55" t="s">
        <v>22</v>
      </c>
      <c r="C25" s="60">
        <f>F25/E25</f>
        <v>2797387.5430130763</v>
      </c>
      <c r="D25" s="61">
        <f>RawBaseline!C84/'Baseline Metrics'!E25</f>
        <v>256461.37126982238</v>
      </c>
      <c r="E25" s="63">
        <v>21</v>
      </c>
      <c r="F25" s="92">
        <f>RawBaseline!C83</f>
        <v>58745138.403274603</v>
      </c>
      <c r="G25" s="28"/>
      <c r="L25" s="55" t="s">
        <v>22</v>
      </c>
      <c r="M25" s="93">
        <f>C25/C7</f>
        <v>0.7468835994890487</v>
      </c>
      <c r="N25" s="94">
        <f>D25/C8</f>
        <v>0.58251856565239957</v>
      </c>
      <c r="O25" s="26"/>
      <c r="P25" s="95"/>
    </row>
    <row r="26" spans="2:16" x14ac:dyDescent="0.2">
      <c r="B26" s="55" t="s">
        <v>84</v>
      </c>
      <c r="C26" s="96">
        <f>RawBaseline!C29</f>
        <v>503947.85000004398</v>
      </c>
      <c r="D26" s="80">
        <f>RawBaseline!E29</f>
        <v>84778.318999997005</v>
      </c>
      <c r="E26" s="63" t="s">
        <v>83</v>
      </c>
      <c r="F26" s="64">
        <f>C26</f>
        <v>503947.85000004398</v>
      </c>
      <c r="G26" s="28"/>
      <c r="L26" s="55" t="s">
        <v>68</v>
      </c>
      <c r="M26" s="97">
        <f>C26/$C$7</f>
        <v>0.13455067571988563</v>
      </c>
      <c r="N26" s="41">
        <f>D26/$C$8</f>
        <v>0.19256289763163612</v>
      </c>
      <c r="O26" s="98">
        <f>C26/E18</f>
        <v>1.389993904356438</v>
      </c>
      <c r="P26" s="95"/>
    </row>
    <row r="27" spans="2:16" x14ac:dyDescent="0.2">
      <c r="B27" s="74" t="s">
        <v>14</v>
      </c>
      <c r="C27" s="99">
        <f>RawBaseline!C85</f>
        <v>2144119.9397972901</v>
      </c>
      <c r="D27" s="100">
        <f>RawBaseline!C86</f>
        <v>125951.76311584099</v>
      </c>
      <c r="E27" s="72" t="s">
        <v>83</v>
      </c>
      <c r="F27" s="73">
        <f>C27</f>
        <v>2144119.9397972901</v>
      </c>
      <c r="G27" s="28"/>
      <c r="L27" s="74" t="s">
        <v>14</v>
      </c>
      <c r="M27" s="101">
        <f>C27/$C$7</f>
        <v>0.57246555714878178</v>
      </c>
      <c r="N27" s="102">
        <f>D27/$C$8</f>
        <v>0.28608300746563076</v>
      </c>
      <c r="O27" s="103">
        <f>C27/E15</f>
        <v>1.1617260526861461</v>
      </c>
      <c r="P27" s="104">
        <f>D27/F15</f>
        <v>0.77769124401591172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66">
        <f>O19</f>
        <v>90.919794727418633</v>
      </c>
      <c r="D31" s="66">
        <f>P19</f>
        <v>100.39804691769849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921680</v>
      </c>
      <c r="D32" s="61">
        <f>F19</f>
        <v>125840</v>
      </c>
      <c r="E32" s="107">
        <f>G19</f>
        <v>0.2460823412531542</v>
      </c>
      <c r="F32" s="108">
        <f>H19</f>
        <v>0.28582915212043708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61.135273145230556</v>
      </c>
      <c r="D33" s="66">
        <f>P20</f>
        <v>60.622439060044385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135714</v>
      </c>
      <c r="D34" s="70">
        <f>F20</f>
        <v>19872</v>
      </c>
      <c r="E34" s="109">
        <f>G20</f>
        <v>3.6234722312332442E-2</v>
      </c>
      <c r="F34" s="110">
        <f>H20</f>
        <v>4.5136656952775953E-2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SUM(RawBaseline!H163:H166)</f>
        <v>49.283153831235246</v>
      </c>
      <c r="D38" s="63">
        <v>75500</v>
      </c>
      <c r="E38" s="64">
        <f>D38*C38</f>
        <v>3720878.1142582609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SUM(RawBaseline!G163:G166)</f>
        <v>93.791638359199609</v>
      </c>
      <c r="D39" s="63">
        <v>2600</v>
      </c>
      <c r="E39" s="64">
        <f>D39*C39</f>
        <v>243858.259733919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SUM(RawBaseline!I163:I166)</f>
        <v>0.9118180229104933</v>
      </c>
      <c r="D40" s="100">
        <f>2500000</f>
        <v>2500000</v>
      </c>
      <c r="E40" s="73">
        <f>D40*C40</f>
        <v>2279545.0572762331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SUM(RawBaseline!B123:E123)</f>
        <v>38724.59749134205</v>
      </c>
      <c r="D44" s="114">
        <v>55.34</v>
      </c>
      <c r="E44" s="64">
        <f>D44*C44</f>
        <v>2143019.2251708694</v>
      </c>
      <c r="G44" s="142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SUM(RawBaseline!B124:E124)</f>
        <v>1025.3979334328585</v>
      </c>
      <c r="D45" s="114">
        <v>380</v>
      </c>
      <c r="E45" s="64">
        <f>D45*C45</f>
        <v>389651.21470448625</v>
      </c>
      <c r="G45" s="142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SUM(RawBaseline!B125:E125)</f>
        <v>33.09612645810472</v>
      </c>
      <c r="D46" s="114">
        <v>9800</v>
      </c>
      <c r="E46" s="64">
        <f>D46*C46</f>
        <v>324342.03928942623</v>
      </c>
      <c r="G46" s="142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SUM(RawBaseline!B126:E126)</f>
        <v>1.0416366083911421</v>
      </c>
      <c r="D47" s="114">
        <v>7800</v>
      </c>
      <c r="E47" s="64">
        <f>D47*C47</f>
        <v>8124.7655454509086</v>
      </c>
      <c r="G47" s="142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SUM(RawBaseline!B127:E127)</f>
        <v>41.137847833845989</v>
      </c>
      <c r="D48" s="115">
        <v>6500</v>
      </c>
      <c r="E48" s="73">
        <f>D48*C48</f>
        <v>267396.01091999892</v>
      </c>
      <c r="G48" s="142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45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160</v>
      </c>
      <c r="C52" s="79"/>
      <c r="D52" s="79"/>
      <c r="E52" s="79"/>
      <c r="F52" s="106"/>
      <c r="G52" s="79"/>
      <c r="H52" s="79"/>
    </row>
    <row r="53" spans="2:16" x14ac:dyDescent="0.2">
      <c r="B53" s="55" t="s">
        <v>161</v>
      </c>
      <c r="C53" s="79"/>
      <c r="D53" s="79"/>
      <c r="E53" s="79"/>
      <c r="F53" s="106"/>
      <c r="G53" s="79"/>
      <c r="H53" s="79"/>
    </row>
    <row r="54" spans="2:16" x14ac:dyDescent="0.2">
      <c r="B54" s="55" t="s">
        <v>162</v>
      </c>
      <c r="C54" s="79"/>
      <c r="D54" s="79"/>
      <c r="E54" s="79"/>
      <c r="F54" s="106"/>
    </row>
    <row r="55" spans="2:16" x14ac:dyDescent="0.2">
      <c r="B55" s="55" t="s">
        <v>163</v>
      </c>
      <c r="C55" s="79"/>
      <c r="D55" s="79"/>
      <c r="E55" s="79"/>
      <c r="F55" s="106"/>
    </row>
    <row r="56" spans="2:16" x14ac:dyDescent="0.2">
      <c r="B56" s="55" t="s">
        <v>164</v>
      </c>
      <c r="C56" s="79"/>
      <c r="D56" s="79"/>
      <c r="E56" s="79"/>
      <c r="F56" s="106"/>
    </row>
    <row r="57" spans="2:16" x14ac:dyDescent="0.2">
      <c r="B57" s="74" t="s">
        <v>165</v>
      </c>
      <c r="C57" s="118"/>
      <c r="D57" s="118"/>
      <c r="E57" s="118"/>
      <c r="F57" s="11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7" workbookViewId="0">
      <selection activeCell="L3" sqref="L3:N11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1406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120</v>
      </c>
      <c r="B1" s="6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SUM(J15:J20,F24:F27,E38:E40,E44:E48)</f>
        <v>284204392.15479773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C3/C7</f>
        <v>59.562216542573175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180298201.84112722</v>
      </c>
      <c r="N4" s="25">
        <f>M4/$C$7</f>
        <v>37.786047072941045</v>
      </c>
      <c r="O4" s="10"/>
      <c r="P4" s="10"/>
    </row>
    <row r="5" spans="1:20" x14ac:dyDescent="0.2">
      <c r="B5" s="20" t="s">
        <v>123</v>
      </c>
      <c r="C5" s="126" t="s">
        <v>146</v>
      </c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15102923.835773829</v>
      </c>
      <c r="N5" s="25">
        <f t="shared" ref="N5:N11" si="0">M5/$C$7</f>
        <v>3.1651995703232654</v>
      </c>
      <c r="O5" s="10"/>
      <c r="P5" s="10"/>
    </row>
    <row r="6" spans="1:20" x14ac:dyDescent="0.2">
      <c r="B6" s="20" t="s">
        <v>85</v>
      </c>
      <c r="C6" s="30">
        <f>SUM(M15:M20)</f>
        <v>90.68651297505852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74304866.556520596</v>
      </c>
      <c r="N6" s="25">
        <f t="shared" si="0"/>
        <v>15.572463600759207</v>
      </c>
      <c r="O6" s="10"/>
      <c r="P6" s="10"/>
    </row>
    <row r="7" spans="1:20" x14ac:dyDescent="0.2">
      <c r="B7" s="20" t="s">
        <v>15</v>
      </c>
      <c r="C7" s="37">
        <f>RawScenario!C3</f>
        <v>4771555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765214.92899995099</v>
      </c>
      <c r="N7" s="25">
        <f t="shared" si="0"/>
        <v>0.1603701369888749</v>
      </c>
      <c r="O7" s="10"/>
      <c r="P7" s="10"/>
    </row>
    <row r="8" spans="1:20" ht="15" thickBot="1" x14ac:dyDescent="0.25">
      <c r="A8" s="33"/>
      <c r="B8" s="34" t="s">
        <v>67</v>
      </c>
      <c r="C8" s="124">
        <f>RawScenario!B3</f>
        <v>894825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2898230.2563038701</v>
      </c>
      <c r="N8" s="25">
        <f t="shared" si="0"/>
        <v>0.60739743255686462</v>
      </c>
      <c r="O8" s="10"/>
      <c r="P8" s="10"/>
    </row>
    <row r="9" spans="1:20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37" t="s">
        <v>124</v>
      </c>
      <c r="N9" s="25"/>
      <c r="P9" s="10"/>
    </row>
    <row r="10" spans="1:20" x14ac:dyDescent="0.2">
      <c r="A10" s="33"/>
      <c r="B10" s="10"/>
      <c r="C10" s="10"/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7201464.2912157159</v>
      </c>
      <c r="N10" s="25">
        <f t="shared" si="0"/>
        <v>1.5092489327306751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3633490.4448565929</v>
      </c>
      <c r="N11" s="40">
        <f t="shared" si="0"/>
        <v>0.76148979627324698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SUMIF(RawScenario!$A$23:$A$30,'Scenario Metrics'!$B15,RawScenario!$D$23:$D$30)</f>
        <v>2623498.2341630999</v>
      </c>
      <c r="D15" s="49">
        <f>SUMIF(RawScenario!$A$23:$A$30,'Scenario Metrics'!$B15,RawScenario!$B$23:$B$30)</f>
        <v>385304.87288529699</v>
      </c>
      <c r="E15" s="50">
        <f>RawScenario!E43</f>
        <v>2388042</v>
      </c>
      <c r="F15" s="50">
        <f>RawScenario!E63</f>
        <v>382455</v>
      </c>
      <c r="G15" s="51">
        <f>E15/$C$7</f>
        <v>0.50047458323334848</v>
      </c>
      <c r="H15" s="51">
        <f>F15/$C$8</f>
        <v>0.42740759366356551</v>
      </c>
      <c r="I15" s="52">
        <v>25</v>
      </c>
      <c r="J15" s="53">
        <f t="shared" ref="J15:J20" si="1">C15*I15</f>
        <v>65587455.854077496</v>
      </c>
      <c r="K15" s="54"/>
      <c r="L15" s="55" t="s">
        <v>60</v>
      </c>
      <c r="M15" s="56">
        <f>C15/$C$7*$R$15</f>
        <v>32.989223439693355</v>
      </c>
      <c r="N15" s="57">
        <f t="shared" ref="N15:N20" si="2">D15/$C$8*$R$15</f>
        <v>25.835545914695967</v>
      </c>
      <c r="O15" s="58">
        <f>C15/E15*60</f>
        <v>65.915881734821241</v>
      </c>
      <c r="P15" s="59">
        <f t="shared" ref="O15:P20" si="3">D15/F15*60</f>
        <v>60.447091482966144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49">
        <f>SUMIF(RawScenario!$A$23:$A$30,'Scenario Metrics'!$B16,RawScenario!$D$23:$D$30)</f>
        <v>1172723.47158211</v>
      </c>
      <c r="D16" s="49">
        <f>SUMIF(RawScenario!$A$23:$A$30,'Scenario Metrics'!$B16,RawScenario!$B$23:$B$30)</f>
        <v>192516.19924065401</v>
      </c>
      <c r="E16" s="61">
        <f>RawScenario!C43</f>
        <v>1727514</v>
      </c>
      <c r="F16" s="61">
        <f>RawScenario!C63</f>
        <v>284271</v>
      </c>
      <c r="G16" s="62">
        <f t="shared" ref="G16:G20" si="4">E16/$C$7</f>
        <v>0.36204423924695406</v>
      </c>
      <c r="H16" s="62">
        <f t="shared" ref="H16:H20" si="5">F16/$C$8</f>
        <v>0.31768334590562403</v>
      </c>
      <c r="I16" s="63">
        <v>25</v>
      </c>
      <c r="J16" s="64">
        <f t="shared" si="1"/>
        <v>29318086.789552752</v>
      </c>
      <c r="K16" s="54"/>
      <c r="L16" s="55" t="s">
        <v>58</v>
      </c>
      <c r="M16" s="65">
        <f t="shared" ref="M16:M20" si="6">C16/$C$7*$R$15</f>
        <v>14.746431361459022</v>
      </c>
      <c r="N16" s="30">
        <f t="shared" si="2"/>
        <v>12.908637950928105</v>
      </c>
      <c r="O16" s="66">
        <f t="shared" si="3"/>
        <v>40.731020585029469</v>
      </c>
      <c r="P16" s="67">
        <f t="shared" si="3"/>
        <v>40.633662788111486</v>
      </c>
    </row>
    <row r="17" spans="2:16" x14ac:dyDescent="0.2">
      <c r="B17" s="48" t="s">
        <v>59</v>
      </c>
      <c r="C17" s="49">
        <f>SUMIF(RawScenario!$A$23:$A$30,'Scenario Metrics'!$B17,RawScenario!$D$23:$D$30)</f>
        <v>702617.10985991603</v>
      </c>
      <c r="D17" s="49">
        <f>SUMIF(RawScenario!$A$23:$A$30,'Scenario Metrics'!$B17,RawScenario!$B$23:$B$30)</f>
        <v>95745.838621486502</v>
      </c>
      <c r="E17" s="61">
        <f>RawScenario!D43</f>
        <v>1070852</v>
      </c>
      <c r="F17" s="61">
        <f>RawScenario!D63</f>
        <v>153135</v>
      </c>
      <c r="G17" s="62">
        <f t="shared" si="4"/>
        <v>0.2244241133131652</v>
      </c>
      <c r="H17" s="62">
        <f t="shared" si="5"/>
        <v>0.1711340206185567</v>
      </c>
      <c r="I17" s="63">
        <v>25</v>
      </c>
      <c r="J17" s="64">
        <f t="shared" si="1"/>
        <v>17565427.746497899</v>
      </c>
      <c r="K17" s="54"/>
      <c r="L17" s="55" t="s">
        <v>59</v>
      </c>
      <c r="M17" s="65">
        <f t="shared" si="6"/>
        <v>8.8350708713605854</v>
      </c>
      <c r="N17" s="30">
        <f t="shared" si="2"/>
        <v>6.4199707398532562</v>
      </c>
      <c r="O17" s="66">
        <f t="shared" si="3"/>
        <v>39.367743247054641</v>
      </c>
      <c r="P17" s="67">
        <f t="shared" si="3"/>
        <v>37.514286853359394</v>
      </c>
    </row>
    <row r="18" spans="2:16" x14ac:dyDescent="0.2">
      <c r="B18" s="48" t="s">
        <v>62</v>
      </c>
      <c r="C18" s="49">
        <f>SUMIF(RawScenario!$A$23:$A$30,'Scenario Metrics'!$B18,RawScenario!$D$23:$D$30)</f>
        <v>508867.97084754799</v>
      </c>
      <c r="D18" s="49">
        <f>SUMIF(RawScenario!$A$23:$A$30,'Scenario Metrics'!$B18,RawScenario!$B$23:$B$30)</f>
        <v>127269.974107152</v>
      </c>
      <c r="E18" s="61">
        <f>RawScenario!G43</f>
        <v>362554</v>
      </c>
      <c r="F18" s="61">
        <f>RawScenario!G63</f>
        <v>85277</v>
      </c>
      <c r="G18" s="62">
        <f t="shared" si="4"/>
        <v>7.5982357952491378E-2</v>
      </c>
      <c r="H18" s="62">
        <f t="shared" si="5"/>
        <v>9.5300198362808369E-2</v>
      </c>
      <c r="I18" s="63">
        <v>25</v>
      </c>
      <c r="J18" s="64">
        <f t="shared" si="1"/>
        <v>12721699.271188699</v>
      </c>
      <c r="K18" s="54"/>
      <c r="L18" s="55" t="s">
        <v>62</v>
      </c>
      <c r="M18" s="65">
        <f t="shared" si="6"/>
        <v>6.3987690073472647</v>
      </c>
      <c r="N18" s="30">
        <f t="shared" si="2"/>
        <v>8.5337339104619563</v>
      </c>
      <c r="O18" s="66">
        <f t="shared" si="3"/>
        <v>84.213877797108509</v>
      </c>
      <c r="P18" s="67">
        <f t="shared" si="3"/>
        <v>89.545814773375241</v>
      </c>
    </row>
    <row r="19" spans="2:16" x14ac:dyDescent="0.2">
      <c r="B19" s="48" t="s">
        <v>63</v>
      </c>
      <c r="C19" s="49">
        <f>SUMIF(RawScenario!$A$23:$A$30,'Scenario Metrics'!$B19,RawScenario!$D$23:$D$30)</f>
        <v>2002291.2315626901</v>
      </c>
      <c r="D19" s="49">
        <f>SUMIF(RawScenario!$A$23:$A$30,'Scenario Metrics'!$B19,RawScenario!$B$23:$B$30)</f>
        <v>449012.09143626102</v>
      </c>
      <c r="E19" s="61">
        <f>RawScenario!H43</f>
        <v>1327387</v>
      </c>
      <c r="F19" s="61">
        <f>RawScenario!H63</f>
        <v>275047</v>
      </c>
      <c r="G19" s="62">
        <f t="shared" si="4"/>
        <v>0.27818750910342643</v>
      </c>
      <c r="H19" s="62">
        <f t="shared" si="5"/>
        <v>0.30737518509205708</v>
      </c>
      <c r="I19" s="63">
        <v>25</v>
      </c>
      <c r="J19" s="64">
        <f t="shared" si="1"/>
        <v>50057280.789067253</v>
      </c>
      <c r="K19" s="54"/>
      <c r="L19" s="55" t="s">
        <v>63</v>
      </c>
      <c r="M19" s="65">
        <f t="shared" si="6"/>
        <v>25.177845355185344</v>
      </c>
      <c r="N19" s="30">
        <f t="shared" si="2"/>
        <v>30.107256151957827</v>
      </c>
      <c r="O19" s="66">
        <f t="shared" si="3"/>
        <v>90.506742866821355</v>
      </c>
      <c r="P19" s="67">
        <f t="shared" si="3"/>
        <v>97.949534029368294</v>
      </c>
    </row>
    <row r="20" spans="2:16" x14ac:dyDescent="0.2">
      <c r="B20" s="68" t="s">
        <v>57</v>
      </c>
      <c r="C20" s="49">
        <f>SUMIF(RawScenario!$A$23:$A$30,'Scenario Metrics'!$B20,RawScenario!$D$23:$D$30)</f>
        <v>201930.05562972499</v>
      </c>
      <c r="D20" s="49">
        <f>SUMIF(RawScenario!$A$23:$A$30,'Scenario Metrics'!$B20,RawScenario!$B$23:$B$30)</f>
        <v>46679.723674947898</v>
      </c>
      <c r="E20" s="70">
        <f>RawScenario!B43</f>
        <v>192864</v>
      </c>
      <c r="F20" s="70">
        <f>RawScenario!B63</f>
        <v>43085</v>
      </c>
      <c r="G20" s="71">
        <f t="shared" si="4"/>
        <v>4.04195278059249E-2</v>
      </c>
      <c r="H20" s="71">
        <f t="shared" si="5"/>
        <v>4.8149079428938618E-2</v>
      </c>
      <c r="I20" s="72">
        <v>25</v>
      </c>
      <c r="J20" s="73">
        <f t="shared" si="1"/>
        <v>5048251.3907431243</v>
      </c>
      <c r="K20" s="54"/>
      <c r="L20" s="74" t="s">
        <v>57</v>
      </c>
      <c r="M20" s="75">
        <f t="shared" si="6"/>
        <v>2.5391729400129517</v>
      </c>
      <c r="N20" s="76">
        <f t="shared" si="2"/>
        <v>3.1299789573345334</v>
      </c>
      <c r="O20" s="77">
        <f t="shared" si="3"/>
        <v>62.820450357679505</v>
      </c>
      <c r="P20" s="78">
        <f t="shared" si="3"/>
        <v>65.005997922638372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129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SUM(RawScenario!C25:C27)</f>
        <v>15102923.835773829</v>
      </c>
      <c r="D24" s="86">
        <f>SUM(RawScenario!E25:E27)</f>
        <v>2093738.2731523539</v>
      </c>
      <c r="E24" s="52" t="s">
        <v>83</v>
      </c>
      <c r="F24" s="53">
        <f>C24</f>
        <v>15102923.835773829</v>
      </c>
      <c r="G24" s="28"/>
      <c r="J24" s="87"/>
      <c r="L24" s="55" t="s">
        <v>0</v>
      </c>
      <c r="M24" s="88">
        <f>C24/$C$7</f>
        <v>3.1651995703232654</v>
      </c>
      <c r="N24" s="89">
        <f>D24/$C$8</f>
        <v>2.3398298808731921</v>
      </c>
      <c r="O24" s="90">
        <f>C24/E15</f>
        <v>6.3243962358173889</v>
      </c>
      <c r="P24" s="91">
        <f>D24/F15</f>
        <v>5.4744696059728701</v>
      </c>
    </row>
    <row r="25" spans="2:16" x14ac:dyDescent="0.2">
      <c r="B25" s="55" t="s">
        <v>22</v>
      </c>
      <c r="C25" s="60">
        <f>F25/E25</f>
        <v>3538326.9788819333</v>
      </c>
      <c r="D25" s="61">
        <f>RawScenario!C84/'Scenario Metrics'!E25</f>
        <v>575535.99841265718</v>
      </c>
      <c r="E25" s="63">
        <v>21</v>
      </c>
      <c r="F25" s="92">
        <f>RawScenario!C83</f>
        <v>74304866.556520596</v>
      </c>
      <c r="G25" s="28"/>
      <c r="L25" s="55" t="s">
        <v>22</v>
      </c>
      <c r="M25" s="93">
        <f>C25/C7</f>
        <v>0.74154588575043845</v>
      </c>
      <c r="N25" s="94">
        <f>D25/C8</f>
        <v>0.64318274345559989</v>
      </c>
      <c r="O25" s="26"/>
      <c r="P25" s="95"/>
    </row>
    <row r="26" spans="2:16" x14ac:dyDescent="0.2">
      <c r="B26" s="55" t="s">
        <v>84</v>
      </c>
      <c r="C26" s="96">
        <f>RawScenario!C29</f>
        <v>765214.92899995099</v>
      </c>
      <c r="D26" s="80">
        <f>RawScenario!E29</f>
        <v>196740.23300000399</v>
      </c>
      <c r="E26" s="63" t="s">
        <v>83</v>
      </c>
      <c r="F26" s="64">
        <f>C26</f>
        <v>765214.92899995099</v>
      </c>
      <c r="G26" s="28"/>
      <c r="L26" s="55" t="s">
        <v>68</v>
      </c>
      <c r="M26" s="97">
        <f>C26/$C$7</f>
        <v>0.1603701369888749</v>
      </c>
      <c r="N26" s="41">
        <f>D26/$C$8</f>
        <v>0.21986447964686279</v>
      </c>
      <c r="O26" s="98">
        <f>C26/E18</f>
        <v>2.1106233250769568</v>
      </c>
      <c r="P26" s="95"/>
    </row>
    <row r="27" spans="2:16" x14ac:dyDescent="0.2">
      <c r="B27" s="74" t="s">
        <v>14</v>
      </c>
      <c r="C27" s="99">
        <f>RawScenario!C85</f>
        <v>2898230.2563038701</v>
      </c>
      <c r="D27" s="100">
        <f>RawScenario!C86</f>
        <v>338701.39160453703</v>
      </c>
      <c r="E27" s="72" t="s">
        <v>83</v>
      </c>
      <c r="F27" s="73">
        <f>C27</f>
        <v>2898230.2563038701</v>
      </c>
      <c r="G27" s="28"/>
      <c r="L27" s="74" t="s">
        <v>14</v>
      </c>
      <c r="M27" s="101">
        <f>C27/$C$7</f>
        <v>0.60739743255686462</v>
      </c>
      <c r="N27" s="102">
        <f>D27/$C$8</f>
        <v>0.37851131964857598</v>
      </c>
      <c r="O27" s="103">
        <f>C27/E15</f>
        <v>1.2136429159553601</v>
      </c>
      <c r="P27" s="104">
        <f>D27/F15</f>
        <v>0.88559802226284667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O19</f>
        <v>90.506742866821355</v>
      </c>
      <c r="D31" s="66">
        <f>P19</f>
        <v>97.949534029368294</v>
      </c>
      <c r="E31" s="79"/>
      <c r="F31" s="106"/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E19</f>
        <v>1327387</v>
      </c>
      <c r="D32" s="61">
        <f>F19</f>
        <v>275047</v>
      </c>
      <c r="E32" s="107">
        <f>G19</f>
        <v>0.27818750910342643</v>
      </c>
      <c r="F32" s="108">
        <f>H19</f>
        <v>0.30737518509205708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O20</f>
        <v>62.820450357679505</v>
      </c>
      <c r="D33" s="66">
        <f>P20</f>
        <v>65.005997922638372</v>
      </c>
      <c r="E33" s="79"/>
      <c r="F33" s="106"/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E20</f>
        <v>192864</v>
      </c>
      <c r="D34" s="70">
        <f>F20</f>
        <v>43085</v>
      </c>
      <c r="E34" s="109">
        <f>G20</f>
        <v>4.04195278059249E-2</v>
      </c>
      <c r="F34" s="110">
        <f>H20</f>
        <v>4.8149079428938618E-2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SUM(RawScenario!H163:H166)</f>
        <v>56.844887153160776</v>
      </c>
      <c r="D38" s="63">
        <v>75500</v>
      </c>
      <c r="E38" s="64">
        <f>D38*C38</f>
        <v>4291788.9800636386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SUM(RawScenario!G163:G166)</f>
        <v>107.73371713545689</v>
      </c>
      <c r="D39" s="63">
        <v>2600</v>
      </c>
      <c r="E39" s="64">
        <f>D39*C39</f>
        <v>280107.6645521879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SUM(RawScenario!I163:I166)</f>
        <v>1.0518270586399558</v>
      </c>
      <c r="D40" s="100">
        <f>2500000</f>
        <v>2500000</v>
      </c>
      <c r="E40" s="73">
        <f>D40*C40</f>
        <v>2629567.6465998897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SUM(RawScenario!B123:E123)</f>
        <v>44960.911553405575</v>
      </c>
      <c r="D44" s="114">
        <v>55.34</v>
      </c>
      <c r="E44" s="64">
        <f>D44*C44</f>
        <v>2488136.8453654647</v>
      </c>
      <c r="G44" s="79"/>
      <c r="H44" s="143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SUM(RawScenario!B124:E124)</f>
        <v>1183.186850145195</v>
      </c>
      <c r="D45" s="114">
        <v>380</v>
      </c>
      <c r="E45" s="64">
        <f>D45*C45</f>
        <v>449611.00305517408</v>
      </c>
      <c r="G45" s="79"/>
      <c r="H45" s="143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SUM(RawScenario!B125:E125)</f>
        <v>37.990874535490946</v>
      </c>
      <c r="D46" s="114">
        <v>9800</v>
      </c>
      <c r="E46" s="64">
        <f>D46*C46</f>
        <v>372310.57044781127</v>
      </c>
      <c r="G46" s="79"/>
      <c r="H46" s="143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SUM(RawScenario!B126:E126)</f>
        <v>1.1790080705422505</v>
      </c>
      <c r="D47" s="114">
        <v>7800</v>
      </c>
      <c r="E47" s="64">
        <f>D47*C47</f>
        <v>9196.2629502295549</v>
      </c>
      <c r="G47" s="79"/>
      <c r="H47" s="143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SUM(RawScenario!B127:E127)</f>
        <v>48.343963544294397</v>
      </c>
      <c r="D48" s="115">
        <v>6500</v>
      </c>
      <c r="E48" s="73">
        <f>D48*C48</f>
        <v>314235.7630379136</v>
      </c>
      <c r="G48" s="79"/>
      <c r="H48" s="143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6" workbookViewId="0">
      <selection activeCell="L23" sqref="L23"/>
    </sheetView>
  </sheetViews>
  <sheetFormatPr defaultRowHeight="15" x14ac:dyDescent="0.25"/>
  <cols>
    <col min="1" max="1" width="32.85546875" customWidth="1"/>
    <col min="2" max="2" width="12.28515625" bestFit="1" customWidth="1"/>
    <col min="3" max="3" width="12.7109375" bestFit="1" customWidth="1"/>
    <col min="4" max="4" width="17.5703125" customWidth="1"/>
    <col min="7" max="8" width="9.85546875" bestFit="1" customWidth="1"/>
  </cols>
  <sheetData>
    <row r="1" spans="1:10" x14ac:dyDescent="0.25">
      <c r="G1" t="s">
        <v>157</v>
      </c>
    </row>
    <row r="2" spans="1:10" ht="51.75" x14ac:dyDescent="0.25">
      <c r="A2" s="42" t="s">
        <v>71</v>
      </c>
      <c r="B2" s="45" t="s">
        <v>148</v>
      </c>
      <c r="C2" s="148" t="s">
        <v>149</v>
      </c>
      <c r="D2" s="149" t="s">
        <v>150</v>
      </c>
      <c r="F2" s="42" t="s">
        <v>71</v>
      </c>
      <c r="G2" s="155" t="s">
        <v>148</v>
      </c>
      <c r="H2" s="149" t="s">
        <v>149</v>
      </c>
      <c r="I2" s="149" t="s">
        <v>150</v>
      </c>
      <c r="J2" s="157" t="s">
        <v>158</v>
      </c>
    </row>
    <row r="3" spans="1:10" x14ac:dyDescent="0.25">
      <c r="A3" s="55" t="s">
        <v>6</v>
      </c>
      <c r="B3" s="150">
        <f>'Baseline Metrics'!C44</f>
        <v>38724.59749134205</v>
      </c>
      <c r="C3" s="144">
        <f>'Scenario Metrics'!C44</f>
        <v>44960.911553405575</v>
      </c>
      <c r="D3" s="146">
        <f>B3-C3</f>
        <v>-6236.314062063524</v>
      </c>
      <c r="F3" s="155" t="s">
        <v>6</v>
      </c>
      <c r="G3" s="158">
        <f>B3/'Baseline Metrics'!$C$7*300</f>
        <v>3.1017618744321691</v>
      </c>
      <c r="H3" s="158">
        <f>C3/'Scenario Metrics'!$C$7*300</f>
        <v>2.8268087585748614</v>
      </c>
      <c r="I3" s="159">
        <f>H3-G3</f>
        <v>-0.27495311585730775</v>
      </c>
    </row>
    <row r="4" spans="1:10" x14ac:dyDescent="0.25">
      <c r="A4" s="55" t="s">
        <v>7</v>
      </c>
      <c r="B4" s="151">
        <f>'Baseline Metrics'!C45</f>
        <v>1025.3979334328585</v>
      </c>
      <c r="C4" s="144">
        <f>'Scenario Metrics'!C45</f>
        <v>1183.186850145195</v>
      </c>
      <c r="D4" s="146">
        <f t="shared" ref="D4:D7" si="0">B4-C4</f>
        <v>-157.78891671233646</v>
      </c>
      <c r="F4" s="155" t="s">
        <v>7</v>
      </c>
      <c r="G4" s="158">
        <f>B4/'Baseline Metrics'!$C$7*300</f>
        <v>8.2132298902646395E-2</v>
      </c>
      <c r="H4" s="158">
        <f>C4/'Scenario Metrics'!$C$7*300</f>
        <v>7.4390016471267431E-2</v>
      </c>
      <c r="I4" s="159">
        <f t="shared" ref="I4:I7" si="1">G4-H4</f>
        <v>7.7422824313789634E-3</v>
      </c>
      <c r="J4" s="1"/>
    </row>
    <row r="5" spans="1:10" x14ac:dyDescent="0.25">
      <c r="A5" s="55" t="s">
        <v>8</v>
      </c>
      <c r="B5" s="151">
        <f>'Baseline Metrics'!C46</f>
        <v>33.09612645810472</v>
      </c>
      <c r="C5" s="144">
        <f>'Scenario Metrics'!C46</f>
        <v>37.990874535490946</v>
      </c>
      <c r="D5" s="146">
        <f t="shared" si="0"/>
        <v>-4.8947480773862253</v>
      </c>
      <c r="F5" s="155" t="s">
        <v>8</v>
      </c>
      <c r="G5" s="158">
        <f>B5/'Baseline Metrics'!$C$7*300</f>
        <v>2.6509327375729766E-3</v>
      </c>
      <c r="H5" s="158">
        <f>C5/'Scenario Metrics'!$C$7*300</f>
        <v>2.3885845097975991E-3</v>
      </c>
      <c r="I5" s="159">
        <f t="shared" si="1"/>
        <v>2.6234822777537747E-4</v>
      </c>
      <c r="J5" s="1"/>
    </row>
    <row r="6" spans="1:10" x14ac:dyDescent="0.25">
      <c r="A6" s="55" t="s">
        <v>9</v>
      </c>
      <c r="B6" s="151">
        <f>'Baseline Metrics'!C47</f>
        <v>1.0416366083911421</v>
      </c>
      <c r="C6" s="144">
        <f>'Scenario Metrics'!C47</f>
        <v>1.1790080705422505</v>
      </c>
      <c r="D6" s="146">
        <f t="shared" si="0"/>
        <v>-0.1373714621511084</v>
      </c>
      <c r="F6" s="155" t="s">
        <v>9</v>
      </c>
      <c r="G6" s="158">
        <f>B6/'Baseline Metrics'!$C$7*300</f>
        <v>8.3432983897194414E-5</v>
      </c>
      <c r="H6" s="158">
        <f>C6/'Scenario Metrics'!$C$7*300</f>
        <v>7.4127285793137708E-5</v>
      </c>
      <c r="I6" s="159">
        <f t="shared" si="1"/>
        <v>9.3056981040567059E-6</v>
      </c>
      <c r="J6" s="1"/>
    </row>
    <row r="7" spans="1:10" x14ac:dyDescent="0.25">
      <c r="A7" s="74" t="s">
        <v>10</v>
      </c>
      <c r="B7" s="152">
        <f>'Baseline Metrics'!C48</f>
        <v>41.137847833845989</v>
      </c>
      <c r="C7" s="145">
        <f>'Scenario Metrics'!C48</f>
        <v>48.343963544294397</v>
      </c>
      <c r="D7" s="147">
        <f t="shared" si="0"/>
        <v>-7.2061157104484082</v>
      </c>
      <c r="F7" s="155" t="s">
        <v>10</v>
      </c>
      <c r="G7" s="158">
        <f>B7/'Baseline Metrics'!$C$7*300</f>
        <v>3.2950583420717013E-3</v>
      </c>
      <c r="H7" s="158">
        <f>C7/'Scenario Metrics'!$C$7*300</f>
        <v>3.0395099843317994E-3</v>
      </c>
      <c r="I7" s="159">
        <f t="shared" si="1"/>
        <v>2.5554835773990191E-4</v>
      </c>
      <c r="J7" s="1"/>
    </row>
    <row r="10" spans="1:10" ht="51.75" x14ac:dyDescent="0.25">
      <c r="A10" s="42" t="s">
        <v>71</v>
      </c>
      <c r="B10" s="45" t="s">
        <v>148</v>
      </c>
      <c r="C10" s="148" t="s">
        <v>149</v>
      </c>
      <c r="D10" s="149" t="s">
        <v>150</v>
      </c>
      <c r="F10" s="42" t="s">
        <v>71</v>
      </c>
      <c r="G10" s="45" t="s">
        <v>148</v>
      </c>
      <c r="H10" s="148" t="s">
        <v>149</v>
      </c>
      <c r="I10" s="149" t="s">
        <v>150</v>
      </c>
    </row>
    <row r="11" spans="1:10" x14ac:dyDescent="0.25">
      <c r="A11" s="55" t="s">
        <v>151</v>
      </c>
      <c r="B11" s="153">
        <f>'Baseline Metrics'!E44</f>
        <v>2143019.2251708694</v>
      </c>
      <c r="C11" s="154">
        <f>'Scenario Metrics'!E44</f>
        <v>2488136.8453654647</v>
      </c>
      <c r="D11" s="146">
        <f>B11-C11</f>
        <v>-345117.62019459531</v>
      </c>
      <c r="F11" s="55" t="s">
        <v>151</v>
      </c>
      <c r="G11" s="153">
        <f>ROUND(B11,-3)</f>
        <v>2143000</v>
      </c>
      <c r="H11" s="153">
        <f t="shared" ref="H11:H15" si="2">ROUND(C11,-3)</f>
        <v>2488000</v>
      </c>
      <c r="I11" s="153">
        <f t="shared" ref="I11:I15" si="3">ROUND(D11,-3)</f>
        <v>-345000</v>
      </c>
    </row>
    <row r="12" spans="1:10" x14ac:dyDescent="0.25">
      <c r="A12" s="55" t="s">
        <v>152</v>
      </c>
      <c r="B12" s="153">
        <f>'Baseline Metrics'!E45</f>
        <v>389651.21470448625</v>
      </c>
      <c r="C12" s="154">
        <f>'Scenario Metrics'!E45</f>
        <v>449611.00305517408</v>
      </c>
      <c r="D12" s="146">
        <f t="shared" ref="D12:D15" si="4">B12-C12</f>
        <v>-59959.788350687828</v>
      </c>
      <c r="F12" s="55" t="s">
        <v>152</v>
      </c>
      <c r="G12" s="153">
        <f t="shared" ref="G12:G15" si="5">ROUND(B12,-3)</f>
        <v>390000</v>
      </c>
      <c r="H12" s="153">
        <f t="shared" si="2"/>
        <v>450000</v>
      </c>
      <c r="I12" s="153">
        <f t="shared" si="3"/>
        <v>-60000</v>
      </c>
    </row>
    <row r="13" spans="1:10" x14ac:dyDescent="0.25">
      <c r="A13" s="55" t="s">
        <v>153</v>
      </c>
      <c r="B13" s="153">
        <f>'Baseline Metrics'!E46</f>
        <v>324342.03928942623</v>
      </c>
      <c r="C13" s="154">
        <f>'Scenario Metrics'!E46</f>
        <v>372310.57044781127</v>
      </c>
      <c r="D13" s="146">
        <f t="shared" si="4"/>
        <v>-47968.531158385042</v>
      </c>
      <c r="F13" s="55" t="s">
        <v>153</v>
      </c>
      <c r="G13" s="153">
        <f t="shared" si="5"/>
        <v>324000</v>
      </c>
      <c r="H13" s="153">
        <f t="shared" si="2"/>
        <v>372000</v>
      </c>
      <c r="I13" s="153">
        <f t="shared" si="3"/>
        <v>-48000</v>
      </c>
    </row>
    <row r="14" spans="1:10" x14ac:dyDescent="0.25">
      <c r="A14" s="55" t="s">
        <v>154</v>
      </c>
      <c r="B14" s="153">
        <f>'Baseline Metrics'!E47</f>
        <v>8124.7655454509086</v>
      </c>
      <c r="C14" s="154">
        <f>'Scenario Metrics'!E47</f>
        <v>9196.2629502295549</v>
      </c>
      <c r="D14" s="146">
        <f t="shared" si="4"/>
        <v>-1071.4974047786463</v>
      </c>
      <c r="F14" s="55" t="s">
        <v>154</v>
      </c>
      <c r="G14" s="153">
        <f t="shared" si="5"/>
        <v>8000</v>
      </c>
      <c r="H14" s="153">
        <f t="shared" si="2"/>
        <v>9000</v>
      </c>
      <c r="I14" s="153">
        <f t="shared" si="3"/>
        <v>-1000</v>
      </c>
    </row>
    <row r="15" spans="1:10" x14ac:dyDescent="0.25">
      <c r="A15" s="74" t="s">
        <v>155</v>
      </c>
      <c r="B15" s="153">
        <f>'Baseline Metrics'!E48</f>
        <v>267396.01091999892</v>
      </c>
      <c r="C15" s="154">
        <f>'Scenario Metrics'!E48</f>
        <v>314235.7630379136</v>
      </c>
      <c r="D15" s="147">
        <f t="shared" si="4"/>
        <v>-46839.752117914672</v>
      </c>
      <c r="F15" s="74" t="s">
        <v>155</v>
      </c>
      <c r="G15" s="153">
        <f t="shared" si="5"/>
        <v>267000</v>
      </c>
      <c r="H15" s="153">
        <f t="shared" si="2"/>
        <v>314000</v>
      </c>
      <c r="I15" s="153">
        <f t="shared" si="3"/>
        <v>-47000</v>
      </c>
    </row>
    <row r="18" spans="1:9" ht="39" x14ac:dyDescent="0.25">
      <c r="A18" s="155" t="s">
        <v>156</v>
      </c>
      <c r="B18" s="45" t="s">
        <v>148</v>
      </c>
      <c r="C18" s="156" t="s">
        <v>149</v>
      </c>
      <c r="D18" s="149" t="s">
        <v>150</v>
      </c>
      <c r="F18" s="155" t="s">
        <v>159</v>
      </c>
      <c r="G18" s="45" t="s">
        <v>148</v>
      </c>
      <c r="H18" s="156" t="s">
        <v>149</v>
      </c>
      <c r="I18" s="149" t="s">
        <v>150</v>
      </c>
    </row>
    <row r="19" spans="1:9" ht="26.25" x14ac:dyDescent="0.25">
      <c r="A19" s="55" t="s">
        <v>3</v>
      </c>
      <c r="B19" s="150">
        <f>'Baseline Metrics'!C38</f>
        <v>49.283153831235246</v>
      </c>
      <c r="C19" s="144">
        <f>'Scenario Metrics'!C38</f>
        <v>56.844887153160776</v>
      </c>
      <c r="D19" s="146">
        <f>B19-C19</f>
        <v>-7.56173332192553</v>
      </c>
      <c r="F19" s="55" t="s">
        <v>3</v>
      </c>
      <c r="G19" s="150">
        <f>B19/'Baseline Metrics'!$C$7</f>
        <v>1.3158269550310005E-5</v>
      </c>
      <c r="H19" s="150" t="e">
        <f>C19/'Baseline Metrics'!D7</f>
        <v>#DIV/0!</v>
      </c>
      <c r="I19" s="146" t="e">
        <f>G19-H19</f>
        <v>#DIV/0!</v>
      </c>
    </row>
    <row r="20" spans="1:9" ht="39" x14ac:dyDescent="0.25">
      <c r="A20" s="55" t="s">
        <v>4</v>
      </c>
      <c r="B20" s="151">
        <f>'Baseline Metrics'!C39</f>
        <v>93.791638359199609</v>
      </c>
      <c r="C20" s="144">
        <f>'Scenario Metrics'!C39</f>
        <v>107.73371713545689</v>
      </c>
      <c r="D20" s="146">
        <f t="shared" ref="D20:D21" si="6">B20-C20</f>
        <v>-13.942078776257276</v>
      </c>
      <c r="F20" s="55" t="s">
        <v>4</v>
      </c>
      <c r="G20" s="150">
        <f>B20/'Baseline Metrics'!$C$7</f>
        <v>2.5041734612230909E-5</v>
      </c>
      <c r="H20" s="150" t="e">
        <f>C20/'Baseline Metrics'!D8</f>
        <v>#DIV/0!</v>
      </c>
      <c r="I20" s="146" t="e">
        <f t="shared" ref="I20:I21" si="7">G20-H20</f>
        <v>#DIV/0!</v>
      </c>
    </row>
    <row r="21" spans="1:9" ht="26.25" x14ac:dyDescent="0.25">
      <c r="A21" s="74" t="s">
        <v>5</v>
      </c>
      <c r="B21" s="152">
        <f>'Baseline Metrics'!C40</f>
        <v>0.9118180229104933</v>
      </c>
      <c r="C21" s="145">
        <f>'Scenario Metrics'!C40</f>
        <v>1.0518270586399558</v>
      </c>
      <c r="D21" s="147">
        <f t="shared" si="6"/>
        <v>-0.14000903572946255</v>
      </c>
      <c r="F21" s="74" t="s">
        <v>5</v>
      </c>
      <c r="G21" s="150">
        <f>B21/'Baseline Metrics'!$C$7</f>
        <v>2.4344925991085448E-7</v>
      </c>
      <c r="H21" s="150" t="e">
        <f>C21/'Baseline Metrics'!D9</f>
        <v>#DIV/0!</v>
      </c>
      <c r="I21" s="147" t="e">
        <f t="shared" si="7"/>
        <v>#DIV/0!</v>
      </c>
    </row>
    <row r="25" spans="1:9" x14ac:dyDescent="0.25">
      <c r="A25" s="120" t="s">
        <v>93</v>
      </c>
      <c r="B25" s="121" t="s">
        <v>166</v>
      </c>
      <c r="C25" s="164" t="s">
        <v>167</v>
      </c>
    </row>
    <row r="26" spans="1:9" x14ac:dyDescent="0.25">
      <c r="A26" s="123" t="s">
        <v>168</v>
      </c>
      <c r="B26" s="24"/>
      <c r="C26" s="165"/>
    </row>
    <row r="27" spans="1:9" x14ac:dyDescent="0.25">
      <c r="A27" s="123" t="s">
        <v>169</v>
      </c>
      <c r="B27" s="24"/>
      <c r="C27" s="165"/>
    </row>
    <row r="28" spans="1:9" s="1" customFormat="1" x14ac:dyDescent="0.25">
      <c r="A28" s="123" t="s">
        <v>171</v>
      </c>
      <c r="B28" s="24"/>
      <c r="C28" s="165"/>
    </row>
    <row r="29" spans="1:9" s="1" customFormat="1" x14ac:dyDescent="0.25">
      <c r="A29" s="123" t="s">
        <v>170</v>
      </c>
      <c r="B29" s="24"/>
      <c r="C29" s="165"/>
    </row>
    <row r="30" spans="1:9" x14ac:dyDescent="0.25">
      <c r="A30" s="123" t="s">
        <v>101</v>
      </c>
      <c r="B30" s="24"/>
      <c r="C30" s="165"/>
    </row>
    <row r="31" spans="1:9" x14ac:dyDescent="0.25">
      <c r="A31" s="123" t="s">
        <v>84</v>
      </c>
      <c r="B31" s="24"/>
      <c r="C31" s="165"/>
    </row>
    <row r="32" spans="1:9" x14ac:dyDescent="0.25">
      <c r="A32" s="123" t="s">
        <v>94</v>
      </c>
      <c r="B32" s="24"/>
      <c r="C32" s="165"/>
    </row>
    <row r="33" spans="1:3" x14ac:dyDescent="0.25">
      <c r="A33" s="123" t="s">
        <v>97</v>
      </c>
      <c r="B33" s="24"/>
      <c r="C33" s="165"/>
    </row>
    <row r="34" spans="1:3" x14ac:dyDescent="0.25">
      <c r="A34" s="125" t="s">
        <v>98</v>
      </c>
      <c r="B34" s="39"/>
      <c r="C34" s="16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N9" sqref="N9"/>
    </sheetView>
  </sheetViews>
  <sheetFormatPr defaultRowHeight="14.25" x14ac:dyDescent="0.2"/>
  <cols>
    <col min="1" max="1" width="4.140625" style="10" customWidth="1"/>
    <col min="2" max="2" width="30.85546875" style="81" customWidth="1"/>
    <col min="3" max="3" width="15.140625" style="81" customWidth="1"/>
    <col min="4" max="4" width="15.85546875" style="81" bestFit="1" customWidth="1"/>
    <col min="5" max="5" width="11" style="81" customWidth="1"/>
    <col min="6" max="6" width="12.7109375" style="81" customWidth="1"/>
    <col min="7" max="9" width="11" style="81" customWidth="1"/>
    <col min="10" max="10" width="14.7109375" style="81" bestFit="1" customWidth="1"/>
    <col min="11" max="11" width="4" style="82" customWidth="1"/>
    <col min="12" max="12" width="25.28515625" style="81" customWidth="1"/>
    <col min="13" max="13" width="13.5703125" style="81" bestFit="1" customWidth="1"/>
    <col min="14" max="14" width="19.42578125" style="28" customWidth="1"/>
    <col min="15" max="15" width="17.5703125" style="28" customWidth="1"/>
    <col min="16" max="16" width="15.85546875" style="28" bestFit="1" customWidth="1"/>
    <col min="17" max="17" width="4.5703125" style="10" customWidth="1"/>
    <col min="18" max="16384" width="9.140625" style="10"/>
  </cols>
  <sheetData>
    <row r="1" spans="1:20" s="7" customFormat="1" ht="26.25" thickBot="1" x14ac:dyDescent="0.4">
      <c r="A1" s="4" t="s">
        <v>126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0" s="8" customFormat="1" ht="21" customHeight="1" thickBot="1" x14ac:dyDescent="0.3">
      <c r="B2" s="9" t="s">
        <v>104</v>
      </c>
      <c r="L2" s="3" t="s">
        <v>106</v>
      </c>
    </row>
    <row r="3" spans="1:20" ht="26.25" x14ac:dyDescent="0.25">
      <c r="B3" s="11" t="s">
        <v>121</v>
      </c>
      <c r="C3" s="12">
        <f>'Scenario Metrics'!C3-'Baseline Metrics'!C3</f>
        <v>66430856.371682286</v>
      </c>
      <c r="D3" s="13"/>
      <c r="E3" s="10"/>
      <c r="F3" s="14" t="s">
        <v>82</v>
      </c>
      <c r="G3" s="15"/>
      <c r="H3" s="14"/>
      <c r="I3" s="14"/>
      <c r="J3" s="10"/>
      <c r="K3" s="16"/>
      <c r="L3" s="120" t="s">
        <v>93</v>
      </c>
      <c r="M3" s="121" t="s">
        <v>99</v>
      </c>
      <c r="N3" s="122" t="s">
        <v>100</v>
      </c>
      <c r="O3" s="10"/>
      <c r="P3" s="10"/>
    </row>
    <row r="4" spans="1:20" ht="15" x14ac:dyDescent="0.25">
      <c r="B4" s="20" t="s">
        <v>122</v>
      </c>
      <c r="C4" s="21">
        <f>'Scenario Metrics'!C4-'Baseline Metrics'!C4</f>
        <v>1.4181518471402725</v>
      </c>
      <c r="D4" s="22"/>
      <c r="E4" s="14"/>
      <c r="F4" s="14" t="s">
        <v>81</v>
      </c>
      <c r="G4" s="15"/>
      <c r="H4" s="14"/>
      <c r="I4" s="14"/>
      <c r="J4" s="10"/>
      <c r="K4" s="16"/>
      <c r="L4" s="123" t="s">
        <v>51</v>
      </c>
      <c r="M4" s="24">
        <f>SUM(J15:J20)</f>
        <v>45890519.701592058</v>
      </c>
      <c r="N4" s="25">
        <f>'Scenario Metrics'!N4-'Baseline Metrics'!N4</f>
        <v>1.900102815382489</v>
      </c>
      <c r="O4" s="10"/>
      <c r="P4" s="10"/>
    </row>
    <row r="5" spans="1:20" x14ac:dyDescent="0.2">
      <c r="B5" s="20" t="s">
        <v>123</v>
      </c>
      <c r="C5" s="26"/>
      <c r="D5" s="27"/>
      <c r="E5" s="14"/>
      <c r="F5" s="28"/>
      <c r="G5" s="28"/>
      <c r="H5" s="14"/>
      <c r="I5" s="14"/>
      <c r="J5" s="10"/>
      <c r="K5" s="29"/>
      <c r="L5" s="123" t="s">
        <v>96</v>
      </c>
      <c r="M5" s="24">
        <f>F24</f>
        <v>2507091.0721640885</v>
      </c>
      <c r="N5" s="25">
        <f>'Scenario Metrics'!N5-'Baseline Metrics'!N5</f>
        <v>-0.19780279112785903</v>
      </c>
      <c r="O5" s="10"/>
      <c r="P5" s="10"/>
    </row>
    <row r="6" spans="1:20" x14ac:dyDescent="0.2">
      <c r="B6" s="20" t="s">
        <v>85</v>
      </c>
      <c r="C6" s="127">
        <f>'Scenario Metrics'!C6-'Baseline Metrics'!C6</f>
        <v>4.5602467569179765</v>
      </c>
      <c r="D6" s="31" t="s">
        <v>103</v>
      </c>
      <c r="E6" s="14"/>
      <c r="F6" s="10"/>
      <c r="G6" s="10"/>
      <c r="H6" s="14"/>
      <c r="I6" s="14"/>
      <c r="J6" s="10"/>
      <c r="K6" s="29"/>
      <c r="L6" s="123" t="s">
        <v>101</v>
      </c>
      <c r="M6" s="24">
        <f>F25</f>
        <v>15559728.153245993</v>
      </c>
      <c r="N6" s="25">
        <f>'Scenario Metrics'!N6-'Baseline Metrics'!N6</f>
        <v>-0.11209198851081581</v>
      </c>
      <c r="O6" s="10"/>
      <c r="P6" s="10"/>
    </row>
    <row r="7" spans="1:20" x14ac:dyDescent="0.2">
      <c r="B7" s="20" t="s">
        <v>15</v>
      </c>
      <c r="C7" s="127">
        <f>'Scenario Metrics'!C7-'Baseline Metrics'!C7</f>
        <v>1026142</v>
      </c>
      <c r="D7" s="31"/>
      <c r="E7" s="14"/>
      <c r="F7" s="14"/>
      <c r="G7" s="14"/>
      <c r="H7" s="14"/>
      <c r="I7" s="14"/>
      <c r="J7" s="10"/>
      <c r="K7" s="29"/>
      <c r="L7" s="123" t="s">
        <v>84</v>
      </c>
      <c r="M7" s="24">
        <f>F26</f>
        <v>261267.07899990701</v>
      </c>
      <c r="N7" s="25">
        <f>'Scenario Metrics'!N7-'Baseline Metrics'!N7</f>
        <v>2.5819461268989263E-2</v>
      </c>
      <c r="O7" s="10"/>
      <c r="P7" s="10"/>
    </row>
    <row r="8" spans="1:20" ht="15" thickBot="1" x14ac:dyDescent="0.25">
      <c r="A8" s="33"/>
      <c r="B8" s="34" t="s">
        <v>67</v>
      </c>
      <c r="C8" s="128">
        <f>'Scenario Metrics'!C8-'Baseline Metrics'!C8</f>
        <v>454562</v>
      </c>
      <c r="D8" s="36"/>
      <c r="E8" s="14"/>
      <c r="F8" s="14"/>
      <c r="G8" s="14"/>
      <c r="H8" s="14"/>
      <c r="I8" s="14"/>
      <c r="J8" s="14"/>
      <c r="K8" s="29"/>
      <c r="L8" s="123" t="s">
        <v>94</v>
      </c>
      <c r="M8" s="24">
        <f>F27</f>
        <v>754110.31650657998</v>
      </c>
      <c r="N8" s="25">
        <f>'Scenario Metrics'!N8-'Baseline Metrics'!N8</f>
        <v>3.4931875408082846E-2</v>
      </c>
      <c r="O8" s="10"/>
      <c r="P8" s="10"/>
    </row>
    <row r="9" spans="1:20" ht="21" customHeight="1" x14ac:dyDescent="0.2">
      <c r="A9" s="33"/>
      <c r="B9" s="3"/>
      <c r="C9" s="37"/>
      <c r="D9" s="37"/>
      <c r="E9" s="26"/>
      <c r="F9" s="14"/>
      <c r="G9" s="14"/>
      <c r="H9" s="14"/>
      <c r="I9" s="14"/>
      <c r="J9" s="14"/>
      <c r="K9" s="29"/>
      <c r="L9" s="123" t="s">
        <v>95</v>
      </c>
      <c r="M9" s="141">
        <f>HeatResults!T8</f>
        <v>6936746.666666667</v>
      </c>
      <c r="N9" s="25">
        <f>'Scenario Metrics'!N9-'Baseline Metrics'!N9</f>
        <v>0</v>
      </c>
      <c r="P9" s="10"/>
    </row>
    <row r="10" spans="1:20" x14ac:dyDescent="0.2">
      <c r="A10" s="33"/>
      <c r="B10" s="10"/>
      <c r="C10" s="160">
        <f>C4*'Scenario Metrics'!C7</f>
        <v>6766789.5369814029</v>
      </c>
      <c r="D10" s="10"/>
      <c r="E10" s="26"/>
      <c r="F10" s="14"/>
      <c r="G10" s="14"/>
      <c r="H10" s="14"/>
      <c r="I10" s="14"/>
      <c r="J10" s="14"/>
      <c r="K10" s="29"/>
      <c r="L10" s="123" t="s">
        <v>97</v>
      </c>
      <c r="M10" s="24">
        <f>SUM(E38:E40)</f>
        <v>957182.85994730284</v>
      </c>
      <c r="N10" s="25">
        <f>'Scenario Metrics'!N10-'Baseline Metrics'!N10</f>
        <v>-0.15793207808666665</v>
      </c>
      <c r="P10" s="10"/>
    </row>
    <row r="11" spans="1:20" x14ac:dyDescent="0.2">
      <c r="A11" s="33"/>
      <c r="B11" s="10"/>
      <c r="C11" s="10"/>
      <c r="D11" s="10"/>
      <c r="E11" s="26"/>
      <c r="F11" s="14"/>
      <c r="G11" s="14"/>
      <c r="H11" s="14"/>
      <c r="I11" s="14"/>
      <c r="J11" s="14"/>
      <c r="K11" s="29"/>
      <c r="L11" s="125" t="s">
        <v>98</v>
      </c>
      <c r="M11" s="39">
        <f>SUM(E44:E48)</f>
        <v>500957.18922636157</v>
      </c>
      <c r="N11" s="40">
        <f>'Scenario Metrics'!N11-'Baseline Metrics'!N11</f>
        <v>-7.4875447193957112E-2</v>
      </c>
      <c r="P11" s="10"/>
    </row>
    <row r="12" spans="1:20" x14ac:dyDescent="0.2">
      <c r="A12" s="33"/>
      <c r="B12" s="10"/>
      <c r="C12" s="10"/>
      <c r="D12" s="10"/>
      <c r="E12" s="26"/>
      <c r="F12" s="14"/>
      <c r="G12" s="14"/>
      <c r="H12" s="14"/>
      <c r="I12" s="14"/>
      <c r="J12" s="14"/>
      <c r="K12" s="29"/>
      <c r="L12" s="26"/>
      <c r="M12" s="24"/>
      <c r="N12" s="41"/>
      <c r="P12" s="10"/>
    </row>
    <row r="13" spans="1:20" s="33" customFormat="1" x14ac:dyDescent="0.2">
      <c r="B13" s="3" t="s">
        <v>105</v>
      </c>
      <c r="C13" s="37"/>
      <c r="D13" s="37"/>
      <c r="E13" s="26"/>
      <c r="F13" s="14"/>
      <c r="G13" s="14"/>
      <c r="H13" s="14"/>
      <c r="I13" s="14"/>
      <c r="J13" s="14"/>
      <c r="K13" s="29"/>
      <c r="L13" s="3" t="s">
        <v>107</v>
      </c>
      <c r="P13" s="26"/>
    </row>
    <row r="14" spans="1:20" ht="51" x14ac:dyDescent="0.2">
      <c r="B14" s="42" t="s">
        <v>86</v>
      </c>
      <c r="C14" s="43" t="s">
        <v>114</v>
      </c>
      <c r="D14" s="44" t="s">
        <v>115</v>
      </c>
      <c r="E14" s="44" t="s">
        <v>74</v>
      </c>
      <c r="F14" s="44" t="s">
        <v>80</v>
      </c>
      <c r="G14" s="44" t="s">
        <v>91</v>
      </c>
      <c r="H14" s="44" t="s">
        <v>92</v>
      </c>
      <c r="I14" s="45" t="s">
        <v>17</v>
      </c>
      <c r="J14" s="46" t="s">
        <v>16</v>
      </c>
      <c r="K14" s="47"/>
      <c r="L14" s="42" t="s">
        <v>87</v>
      </c>
      <c r="M14" s="45" t="s">
        <v>116</v>
      </c>
      <c r="N14" s="45" t="s">
        <v>117</v>
      </c>
      <c r="O14" s="45" t="s">
        <v>118</v>
      </c>
      <c r="P14" s="46" t="s">
        <v>119</v>
      </c>
    </row>
    <row r="15" spans="1:20" x14ac:dyDescent="0.2">
      <c r="B15" s="48" t="s">
        <v>60</v>
      </c>
      <c r="C15" s="49">
        <f>'Scenario Metrics'!C15-'Baseline Metrics'!C15</f>
        <v>640963.50274680997</v>
      </c>
      <c r="D15" s="50">
        <f>'Scenario Metrics'!D15-'Baseline Metrics'!D15</f>
        <v>238434.53984127499</v>
      </c>
      <c r="E15" s="50">
        <f>'Scenario Metrics'!E15-'Baseline Metrics'!E15</f>
        <v>542409</v>
      </c>
      <c r="F15" s="50">
        <f>'Scenario Metrics'!F15-'Baseline Metrics'!F15</f>
        <v>220499</v>
      </c>
      <c r="G15" s="51">
        <f>'Scenario Metrics'!G15-'Baseline Metrics'!G15</f>
        <v>7.7030250633949859E-3</v>
      </c>
      <c r="H15" s="51">
        <f>'Scenario Metrics'!H15-'Baseline Metrics'!H15</f>
        <v>5.9545656594132024E-2</v>
      </c>
      <c r="I15" s="52">
        <v>25</v>
      </c>
      <c r="J15" s="53">
        <f t="shared" ref="J15:J20" si="0">C15*I15</f>
        <v>16024087.568670249</v>
      </c>
      <c r="K15" s="54"/>
      <c r="L15" s="55" t="s">
        <v>60</v>
      </c>
      <c r="M15" s="56">
        <f>'Scenario Metrics'!M15-'Baseline Metrics'!M15</f>
        <v>1.2298196342979537</v>
      </c>
      <c r="N15" s="57">
        <f>'Scenario Metrics'!N15-'Baseline Metrics'!N15</f>
        <v>5.8197372216163323</v>
      </c>
      <c r="O15" s="58">
        <f>'Scenario Metrics'!O15-'Baseline Metrics'!O15</f>
        <v>1.4653198490197923</v>
      </c>
      <c r="P15" s="59">
        <f>'Scenario Metrics'!P15-'Baseline Metrics'!P15</f>
        <v>6.0358934869590755</v>
      </c>
      <c r="R15" s="28">
        <v>60</v>
      </c>
      <c r="S15" s="28" t="s">
        <v>66</v>
      </c>
      <c r="T15" s="14"/>
    </row>
    <row r="16" spans="1:20" x14ac:dyDescent="0.2">
      <c r="B16" s="48" t="s">
        <v>58</v>
      </c>
      <c r="C16" s="60">
        <f>'Scenario Metrics'!C16-'Baseline Metrics'!C16</f>
        <v>237315.83086748002</v>
      </c>
      <c r="D16" s="61">
        <f>'Scenario Metrics'!D16-'Baseline Metrics'!D16</f>
        <v>97371.851386967013</v>
      </c>
      <c r="E16" s="61">
        <f>'Scenario Metrics'!E16-'Baseline Metrics'!E16</f>
        <v>315262</v>
      </c>
      <c r="F16" s="61">
        <f>'Scenario Metrics'!F16-'Baseline Metrics'!F16</f>
        <v>134733</v>
      </c>
      <c r="G16" s="62">
        <f>'Scenario Metrics'!G16-'Baseline Metrics'!G16</f>
        <v>-1.5017516025428446E-2</v>
      </c>
      <c r="H16" s="62">
        <f>'Scenario Metrics'!H16-'Baseline Metrics'!H16</f>
        <v>-2.1972723307550845E-2</v>
      </c>
      <c r="I16" s="63">
        <v>25</v>
      </c>
      <c r="J16" s="64">
        <f t="shared" si="0"/>
        <v>5932895.771687001</v>
      </c>
      <c r="K16" s="54"/>
      <c r="L16" s="55" t="s">
        <v>58</v>
      </c>
      <c r="M16" s="65">
        <f>'Scenario Metrics'!M16-'Baseline Metrics'!M16</f>
        <v>-0.23842036060148253</v>
      </c>
      <c r="N16" s="30">
        <f>'Scenario Metrics'!N16-'Baseline Metrics'!N16</f>
        <v>-5.7840883816625777E-2</v>
      </c>
      <c r="O16" s="66">
        <f>'Scenario Metrics'!O16-'Baseline Metrics'!O16</f>
        <v>0.98991316023715115</v>
      </c>
      <c r="P16" s="67">
        <f>'Scenario Metrics'!P16-'Baseline Metrics'!P16</f>
        <v>2.4583436637336078</v>
      </c>
    </row>
    <row r="17" spans="2:16" x14ac:dyDescent="0.2">
      <c r="B17" s="48" t="s">
        <v>59</v>
      </c>
      <c r="C17" s="60">
        <f>'Scenario Metrics'!C17-'Baseline Metrics'!C17</f>
        <v>87334.179481609026</v>
      </c>
      <c r="D17" s="61">
        <f>'Scenario Metrics'!D17-'Baseline Metrics'!D17</f>
        <v>37274.305289260505</v>
      </c>
      <c r="E17" s="61">
        <f>'Scenario Metrics'!E17-'Baseline Metrics'!E17</f>
        <v>128418</v>
      </c>
      <c r="F17" s="61">
        <f>'Scenario Metrics'!F17-'Baseline Metrics'!F17</f>
        <v>57859</v>
      </c>
      <c r="G17" s="62">
        <f>'Scenario Metrics'!G17-'Baseline Metrics'!G17</f>
        <v>-2.7199405908880536E-2</v>
      </c>
      <c r="H17" s="62">
        <f>'Scenario Metrics'!H17-'Baseline Metrics'!H17</f>
        <v>-4.5272990645165212E-2</v>
      </c>
      <c r="I17" s="63">
        <v>25</v>
      </c>
      <c r="J17" s="64">
        <f t="shared" si="0"/>
        <v>2183354.4870402254</v>
      </c>
      <c r="K17" s="54"/>
      <c r="L17" s="55" t="s">
        <v>59</v>
      </c>
      <c r="M17" s="65">
        <f>'Scenario Metrics'!M17-'Baseline Metrics'!M17</f>
        <v>-1.0215125875793021</v>
      </c>
      <c r="N17" s="30">
        <f>'Scenario Metrics'!N17-'Baseline Metrics'!N17</f>
        <v>-1.548657102898825</v>
      </c>
      <c r="O17" s="66">
        <f>'Scenario Metrics'!O17-'Baseline Metrics'!O17</f>
        <v>0.19579505471605785</v>
      </c>
      <c r="P17" s="67">
        <f>'Scenario Metrics'!P17-'Baseline Metrics'!P17</f>
        <v>0.69187617350759467</v>
      </c>
    </row>
    <row r="18" spans="2:16" x14ac:dyDescent="0.2">
      <c r="B18" s="48" t="s">
        <v>62</v>
      </c>
      <c r="C18" s="60">
        <f>'Scenario Metrics'!C18-'Baseline Metrics'!C18</f>
        <v>200717.13550868497</v>
      </c>
      <c r="D18" s="61">
        <f>'Scenario Metrics'!D18-'Baseline Metrics'!D18</f>
        <v>75966.430636733305</v>
      </c>
      <c r="E18" s="61">
        <f>'Scenario Metrics'!E18-'Baseline Metrics'!E18</f>
        <v>0</v>
      </c>
      <c r="F18" s="61">
        <f>'Scenario Metrics'!F18-'Baseline Metrics'!F18</f>
        <v>-137487</v>
      </c>
      <c r="G18" s="62">
        <f>'Scenario Metrics'!G18-'Baseline Metrics'!G18</f>
        <v>-2.081711382805726E-2</v>
      </c>
      <c r="H18" s="62">
        <f>'Scenario Metrics'!H18-'Baseline Metrics'!H18</f>
        <v>-0.41067918214384336</v>
      </c>
      <c r="I18" s="63">
        <v>25</v>
      </c>
      <c r="J18" s="64">
        <f t="shared" si="0"/>
        <v>5017928.3877171241</v>
      </c>
      <c r="K18" s="54"/>
      <c r="L18" s="55" t="s">
        <v>62</v>
      </c>
      <c r="M18" s="65">
        <f>'Scenario Metrics'!M18-'Baseline Metrics'!M18</f>
        <v>1.4623173742878981</v>
      </c>
      <c r="N18" s="30">
        <f>'Scenario Metrics'!N18-'Baseline Metrics'!N18</f>
        <v>1.5419753292840657</v>
      </c>
      <c r="O18" s="66">
        <f>'Scenario Metrics'!O18-'Baseline Metrics'!O18</f>
        <v>33.21719834982126</v>
      </c>
      <c r="P18" s="67">
        <f>'Scenario Metrics'!P18-'Baseline Metrics'!P18</f>
        <v>75.727546973258882</v>
      </c>
    </row>
    <row r="19" spans="2:16" x14ac:dyDescent="0.2">
      <c r="B19" s="48" t="s">
        <v>63</v>
      </c>
      <c r="C19" s="60">
        <f>'Scenario Metrics'!C19-'Baseline Metrics'!C19</f>
        <v>605641.95815657009</v>
      </c>
      <c r="D19" s="61">
        <f>'Scenario Metrics'!D19-'Baseline Metrics'!D19</f>
        <v>238443.92103420803</v>
      </c>
      <c r="E19" s="61">
        <f>'Scenario Metrics'!E19-'Baseline Metrics'!E19</f>
        <v>405707</v>
      </c>
      <c r="F19" s="61">
        <f>'Scenario Metrics'!F19-'Baseline Metrics'!F19</f>
        <v>149207</v>
      </c>
      <c r="G19" s="62">
        <f>'Scenario Metrics'!G19-'Baseline Metrics'!G19</f>
        <v>3.2105167850272232E-2</v>
      </c>
      <c r="H19" s="62">
        <f>'Scenario Metrics'!H19-'Baseline Metrics'!H19</f>
        <v>2.1546032971619999E-2</v>
      </c>
      <c r="I19" s="63">
        <v>25</v>
      </c>
      <c r="J19" s="64">
        <f t="shared" si="0"/>
        <v>15141048.953914253</v>
      </c>
      <c r="K19" s="54"/>
      <c r="L19" s="55" t="s">
        <v>63</v>
      </c>
      <c r="M19" s="65">
        <f>'Scenario Metrics'!M19-'Baseline Metrics'!M19</f>
        <v>2.8040894024059853</v>
      </c>
      <c r="N19" s="30">
        <f>'Scenario Metrics'!N19-'Baseline Metrics'!N19</f>
        <v>1.4105675269242006</v>
      </c>
      <c r="O19" s="66">
        <f>'Scenario Metrics'!O19-'Baseline Metrics'!O19</f>
        <v>-0.41305186059727816</v>
      </c>
      <c r="P19" s="67">
        <f>'Scenario Metrics'!P19-'Baseline Metrics'!P19</f>
        <v>-2.4485128883301996</v>
      </c>
    </row>
    <row r="20" spans="2:16" x14ac:dyDescent="0.2">
      <c r="B20" s="68" t="s">
        <v>57</v>
      </c>
      <c r="C20" s="69">
        <f>'Scenario Metrics'!C20-'Baseline Metrics'!C20</f>
        <v>63648.181302527984</v>
      </c>
      <c r="D20" s="70">
        <f>'Scenario Metrics'!D20-'Baseline Metrics'!D20</f>
        <v>26601.571858261199</v>
      </c>
      <c r="E20" s="70">
        <f>'Scenario Metrics'!E20-'Baseline Metrics'!E20</f>
        <v>57150</v>
      </c>
      <c r="F20" s="70">
        <f>'Scenario Metrics'!F20-'Baseline Metrics'!F20</f>
        <v>23213</v>
      </c>
      <c r="G20" s="71">
        <f>'Scenario Metrics'!G20-'Baseline Metrics'!G20</f>
        <v>4.1848054935924583E-3</v>
      </c>
      <c r="H20" s="71">
        <f>'Scenario Metrics'!H20-'Baseline Metrics'!H20</f>
        <v>3.0124224761626656E-3</v>
      </c>
      <c r="I20" s="72">
        <v>25</v>
      </c>
      <c r="J20" s="73">
        <f t="shared" si="0"/>
        <v>1591204.5325631995</v>
      </c>
      <c r="K20" s="54"/>
      <c r="L20" s="74" t="s">
        <v>57</v>
      </c>
      <c r="M20" s="75">
        <f>'Scenario Metrics'!M20-'Baseline Metrics'!M20</f>
        <v>0.32395329410692764</v>
      </c>
      <c r="N20" s="76">
        <f>'Scenario Metrics'!N20-'Baseline Metrics'!N20</f>
        <v>0.39368472184074443</v>
      </c>
      <c r="O20" s="77">
        <f>'Scenario Metrics'!O20-'Baseline Metrics'!O20</f>
        <v>1.6851772124489486</v>
      </c>
      <c r="P20" s="78">
        <f>'Scenario Metrics'!P20-'Baseline Metrics'!P20</f>
        <v>4.3835588625939863</v>
      </c>
    </row>
    <row r="21" spans="2:16" x14ac:dyDescent="0.2">
      <c r="B21" s="79"/>
      <c r="C21" s="61"/>
      <c r="D21" s="61"/>
      <c r="E21" s="61"/>
      <c r="F21" s="61"/>
      <c r="G21" s="62"/>
      <c r="H21" s="62"/>
      <c r="I21" s="63"/>
      <c r="J21" s="80"/>
      <c r="K21" s="54"/>
      <c r="N21" s="30"/>
      <c r="O21" s="66"/>
      <c r="P21" s="66"/>
    </row>
    <row r="22" spans="2:16" x14ac:dyDescent="0.2">
      <c r="B22" s="3" t="s">
        <v>108</v>
      </c>
      <c r="L22" s="3" t="s">
        <v>109</v>
      </c>
      <c r="N22" s="81"/>
    </row>
    <row r="23" spans="2:16" ht="25.5" x14ac:dyDescent="0.2">
      <c r="B23" s="83" t="s">
        <v>88</v>
      </c>
      <c r="C23" s="84" t="s">
        <v>1</v>
      </c>
      <c r="D23" s="45" t="s">
        <v>2</v>
      </c>
      <c r="E23" s="45" t="s">
        <v>17</v>
      </c>
      <c r="F23" s="46" t="s">
        <v>16</v>
      </c>
      <c r="G23" s="28"/>
      <c r="L23" s="83" t="s">
        <v>128</v>
      </c>
      <c r="M23" s="45" t="s">
        <v>89</v>
      </c>
      <c r="N23" s="45" t="s">
        <v>49</v>
      </c>
      <c r="O23" s="45" t="s">
        <v>69</v>
      </c>
      <c r="P23" s="46" t="s">
        <v>70</v>
      </c>
    </row>
    <row r="24" spans="2:16" x14ac:dyDescent="0.2">
      <c r="B24" s="55" t="s">
        <v>0</v>
      </c>
      <c r="C24" s="85">
        <f>'Scenario Metrics'!C24-'Baseline Metrics'!C24</f>
        <v>2507091.0721640885</v>
      </c>
      <c r="D24" s="86">
        <f>'Scenario Metrics'!D24-'Baseline Metrics'!D24</f>
        <v>1167008.5691800788</v>
      </c>
      <c r="E24" s="52" t="s">
        <v>83</v>
      </c>
      <c r="F24" s="53">
        <f>C24</f>
        <v>2507091.0721640885</v>
      </c>
      <c r="G24" s="28"/>
      <c r="J24" s="87"/>
      <c r="L24" s="55" t="s">
        <v>0</v>
      </c>
      <c r="M24" s="88">
        <f>'Scenario Metrics'!M24-'Baseline Metrics'!M24</f>
        <v>-0.19780279112785903</v>
      </c>
      <c r="N24" s="89">
        <f>'Scenario Metrics'!N24-'Baseline Metrics'!N24</f>
        <v>0.2348841916549862</v>
      </c>
      <c r="O24" s="90">
        <f>'Scenario Metrics'!O24-'Baseline Metrics'!O24</f>
        <v>-0.50027192064152803</v>
      </c>
      <c r="P24" s="91">
        <f>'Scenario Metrics'!P24-'Baseline Metrics'!P24</f>
        <v>-0.24763827500884705</v>
      </c>
    </row>
    <row r="25" spans="2:16" x14ac:dyDescent="0.2">
      <c r="B25" s="55" t="s">
        <v>22</v>
      </c>
      <c r="C25" s="60">
        <f>'Scenario Metrics'!C25-'Baseline Metrics'!C25</f>
        <v>740939.43586885696</v>
      </c>
      <c r="D25" s="61">
        <f>'Scenario Metrics'!D25-'Baseline Metrics'!D25</f>
        <v>319074.62714283483</v>
      </c>
      <c r="E25" s="63">
        <v>21</v>
      </c>
      <c r="F25" s="61">
        <f>'Scenario Metrics'!F25-'Baseline Metrics'!F25</f>
        <v>15559728.153245993</v>
      </c>
      <c r="G25" s="28"/>
      <c r="L25" s="55" t="s">
        <v>22</v>
      </c>
      <c r="M25" s="93">
        <f>'Scenario Metrics'!M25-'Baseline Metrics'!M25</f>
        <v>-5.3377137386102502E-3</v>
      </c>
      <c r="N25" s="94">
        <f>'Scenario Metrics'!N25-'Baseline Metrics'!N25</f>
        <v>6.0664177803200325E-2</v>
      </c>
      <c r="O25" s="26">
        <f>'Scenario Metrics'!O25-'Baseline Metrics'!O25</f>
        <v>0</v>
      </c>
      <c r="P25" s="95">
        <f>'Scenario Metrics'!P25-'Baseline Metrics'!P25</f>
        <v>0</v>
      </c>
    </row>
    <row r="26" spans="2:16" x14ac:dyDescent="0.2">
      <c r="B26" s="55" t="s">
        <v>84</v>
      </c>
      <c r="C26" s="96">
        <f>'Scenario Metrics'!C26-'Baseline Metrics'!C26</f>
        <v>261267.07899990701</v>
      </c>
      <c r="D26" s="80">
        <f>'Scenario Metrics'!D26-'Baseline Metrics'!D26</f>
        <v>111961.91400000699</v>
      </c>
      <c r="E26" s="63" t="s">
        <v>83</v>
      </c>
      <c r="F26" s="64">
        <f>C26</f>
        <v>261267.07899990701</v>
      </c>
      <c r="G26" s="28"/>
      <c r="L26" s="55" t="s">
        <v>68</v>
      </c>
      <c r="M26" s="97">
        <f>'Scenario Metrics'!M26-'Baseline Metrics'!M26</f>
        <v>2.5819461268989263E-2</v>
      </c>
      <c r="N26" s="41">
        <f>'Scenario Metrics'!N26-'Baseline Metrics'!N26</f>
        <v>2.7301582015226672E-2</v>
      </c>
      <c r="O26" s="98">
        <f>'Scenario Metrics'!O26-'Baseline Metrics'!O26</f>
        <v>0.72062942072051883</v>
      </c>
      <c r="P26" s="95">
        <f>'Scenario Metrics'!P26-'Baseline Metrics'!P26</f>
        <v>0</v>
      </c>
    </row>
    <row r="27" spans="2:16" x14ac:dyDescent="0.2">
      <c r="B27" s="74" t="s">
        <v>14</v>
      </c>
      <c r="C27" s="99">
        <f>'Scenario Metrics'!C27-'Baseline Metrics'!C27</f>
        <v>754110.31650657998</v>
      </c>
      <c r="D27" s="100">
        <f>'Scenario Metrics'!D27-'Baseline Metrics'!D27</f>
        <v>212749.62848869603</v>
      </c>
      <c r="E27" s="72" t="s">
        <v>83</v>
      </c>
      <c r="F27" s="73">
        <f>C27</f>
        <v>754110.31650657998</v>
      </c>
      <c r="G27" s="28"/>
      <c r="L27" s="74" t="s">
        <v>14</v>
      </c>
      <c r="M27" s="101">
        <f>'Scenario Metrics'!M27-'Baseline Metrics'!M27</f>
        <v>3.4931875408082846E-2</v>
      </c>
      <c r="N27" s="102">
        <f>'Scenario Metrics'!N27-'Baseline Metrics'!N27</f>
        <v>9.2428312182945227E-2</v>
      </c>
      <c r="O27" s="103">
        <f>'Scenario Metrics'!O27-'Baseline Metrics'!O27</f>
        <v>5.1916863269213964E-2</v>
      </c>
      <c r="P27" s="104">
        <f>'Scenario Metrics'!P27-'Baseline Metrics'!P27</f>
        <v>0.10790677824693495</v>
      </c>
    </row>
    <row r="29" spans="2:16" x14ac:dyDescent="0.2">
      <c r="B29" s="3" t="s">
        <v>110</v>
      </c>
    </row>
    <row r="30" spans="2:16" ht="38.25" x14ac:dyDescent="0.2">
      <c r="B30" s="42" t="s">
        <v>18</v>
      </c>
      <c r="C30" s="45" t="s">
        <v>1</v>
      </c>
      <c r="D30" s="45" t="s">
        <v>2</v>
      </c>
      <c r="E30" s="45" t="s">
        <v>72</v>
      </c>
      <c r="F30" s="46" t="s">
        <v>73</v>
      </c>
      <c r="G30" s="28"/>
      <c r="H30" s="28"/>
      <c r="I30" s="28"/>
      <c r="J30" s="28"/>
      <c r="K30" s="54"/>
      <c r="L30" s="10"/>
      <c r="M30" s="10"/>
      <c r="N30" s="10"/>
      <c r="O30" s="10"/>
      <c r="P30" s="10"/>
    </row>
    <row r="31" spans="2:16" ht="25.5" x14ac:dyDescent="0.2">
      <c r="B31" s="55" t="s">
        <v>50</v>
      </c>
      <c r="C31" s="105">
        <f>'Scenario Metrics'!C31-'Baseline Metrics'!C31</f>
        <v>-0.41305186059727816</v>
      </c>
      <c r="D31" s="66">
        <f>'Scenario Metrics'!D31-'Baseline Metrics'!D31</f>
        <v>-2.4485128883301996</v>
      </c>
      <c r="E31" s="79">
        <f>'Scenario Metrics'!E31-'Baseline Metrics'!E31</f>
        <v>0</v>
      </c>
      <c r="F31" s="106">
        <f>'Scenario Metrics'!F31-'Baseline Metrics'!F31</f>
        <v>0</v>
      </c>
      <c r="G31" s="28"/>
      <c r="H31" s="28"/>
      <c r="I31" s="28"/>
      <c r="J31" s="28"/>
      <c r="K31" s="54"/>
      <c r="L31" s="10"/>
      <c r="M31" s="10"/>
      <c r="N31" s="10"/>
      <c r="O31" s="10"/>
      <c r="P31" s="10"/>
    </row>
    <row r="32" spans="2:16" x14ac:dyDescent="0.2">
      <c r="B32" s="55" t="s">
        <v>11</v>
      </c>
      <c r="C32" s="61">
        <f>'Scenario Metrics'!C32-'Baseline Metrics'!C32</f>
        <v>405707</v>
      </c>
      <c r="D32" s="61">
        <f>'Scenario Metrics'!D32-'Baseline Metrics'!D32</f>
        <v>149207</v>
      </c>
      <c r="E32" s="107">
        <f>'Scenario Metrics'!E32-'Baseline Metrics'!E32</f>
        <v>3.2105167850272232E-2</v>
      </c>
      <c r="F32" s="108">
        <f>'Scenario Metrics'!F32-'Baseline Metrics'!F32</f>
        <v>2.1546032971619999E-2</v>
      </c>
      <c r="G32" s="28"/>
      <c r="H32" s="28"/>
      <c r="I32" s="28"/>
      <c r="J32" s="28"/>
      <c r="K32" s="54"/>
      <c r="L32" s="10"/>
      <c r="M32" s="10"/>
      <c r="N32" s="10"/>
      <c r="O32" s="10"/>
      <c r="P32" s="10"/>
    </row>
    <row r="33" spans="2:16" x14ac:dyDescent="0.2">
      <c r="B33" s="55" t="s">
        <v>12</v>
      </c>
      <c r="C33" s="105">
        <f>'Scenario Metrics'!C33-'Baseline Metrics'!C33</f>
        <v>1.6851772124489486</v>
      </c>
      <c r="D33" s="66">
        <f>'Scenario Metrics'!D33-'Baseline Metrics'!D33</f>
        <v>4.3835588625939863</v>
      </c>
      <c r="E33" s="79">
        <f>'Scenario Metrics'!E33-'Baseline Metrics'!E33</f>
        <v>0</v>
      </c>
      <c r="F33" s="106">
        <f>'Scenario Metrics'!F33-'Baseline Metrics'!F33</f>
        <v>0</v>
      </c>
      <c r="G33" s="28"/>
      <c r="H33" s="28"/>
      <c r="I33" s="28"/>
      <c r="J33" s="28"/>
      <c r="K33" s="54"/>
      <c r="L33" s="10"/>
      <c r="M33" s="10"/>
      <c r="N33" s="10"/>
      <c r="O33" s="10"/>
      <c r="P33" s="10"/>
    </row>
    <row r="34" spans="2:16" x14ac:dyDescent="0.2">
      <c r="B34" s="74" t="s">
        <v>13</v>
      </c>
      <c r="C34" s="70">
        <f>'Scenario Metrics'!C34-'Baseline Metrics'!C34</f>
        <v>57150</v>
      </c>
      <c r="D34" s="70">
        <f>'Scenario Metrics'!D34-'Baseline Metrics'!D34</f>
        <v>23213</v>
      </c>
      <c r="E34" s="109">
        <f>'Scenario Metrics'!E34-'Baseline Metrics'!E34</f>
        <v>4.1848054935924583E-3</v>
      </c>
      <c r="F34" s="110">
        <f>'Scenario Metrics'!F34-'Baseline Metrics'!F34</f>
        <v>3.0124224761626656E-3</v>
      </c>
      <c r="G34" s="28"/>
      <c r="H34" s="28"/>
      <c r="I34" s="28"/>
      <c r="J34" s="28"/>
      <c r="K34" s="54"/>
      <c r="L34" s="10"/>
      <c r="M34" s="10"/>
      <c r="N34" s="10"/>
      <c r="O34" s="10"/>
      <c r="P34" s="10"/>
    </row>
    <row r="36" spans="2:16" x14ac:dyDescent="0.2">
      <c r="B36" s="3" t="s">
        <v>111</v>
      </c>
    </row>
    <row r="37" spans="2:16" ht="25.5" x14ac:dyDescent="0.2">
      <c r="B37" s="42" t="s">
        <v>20</v>
      </c>
      <c r="C37" s="45" t="s">
        <v>1</v>
      </c>
      <c r="D37" s="45" t="s">
        <v>17</v>
      </c>
      <c r="E37" s="46" t="s">
        <v>16</v>
      </c>
      <c r="G37" s="79"/>
      <c r="H37" s="79"/>
      <c r="I37" s="28"/>
      <c r="J37" s="28"/>
      <c r="K37" s="54"/>
      <c r="L37" s="28"/>
      <c r="M37" s="28"/>
    </row>
    <row r="38" spans="2:16" x14ac:dyDescent="0.2">
      <c r="B38" s="55" t="s">
        <v>3</v>
      </c>
      <c r="C38" s="66">
        <f>'Scenario Metrics'!C38-'Baseline Metrics'!C38</f>
        <v>7.56173332192553</v>
      </c>
      <c r="D38" s="63">
        <v>75500</v>
      </c>
      <c r="E38" s="64">
        <f>D38*C38</f>
        <v>570910.86580537749</v>
      </c>
      <c r="F38" s="28"/>
      <c r="G38" s="28"/>
      <c r="H38" s="28"/>
      <c r="I38" s="28"/>
      <c r="J38" s="28"/>
      <c r="K38" s="54"/>
      <c r="L38" s="28"/>
      <c r="M38" s="28"/>
      <c r="N38" s="10"/>
      <c r="O38" s="10"/>
      <c r="P38" s="10"/>
    </row>
    <row r="39" spans="2:16" x14ac:dyDescent="0.2">
      <c r="B39" s="55" t="s">
        <v>4</v>
      </c>
      <c r="C39" s="66">
        <f>'Scenario Metrics'!C39-'Baseline Metrics'!C39</f>
        <v>13.942078776257276</v>
      </c>
      <c r="D39" s="63">
        <v>2600</v>
      </c>
      <c r="E39" s="64">
        <f>D39*C39</f>
        <v>36249.404818268915</v>
      </c>
      <c r="F39" s="28"/>
      <c r="G39" s="28"/>
      <c r="H39" s="28"/>
      <c r="I39" s="28"/>
      <c r="J39" s="28"/>
      <c r="K39" s="54"/>
      <c r="L39" s="28"/>
      <c r="M39" s="28"/>
      <c r="N39" s="10"/>
      <c r="O39" s="10"/>
      <c r="P39" s="10"/>
    </row>
    <row r="40" spans="2:16" x14ac:dyDescent="0.2">
      <c r="B40" s="74" t="s">
        <v>5</v>
      </c>
      <c r="C40" s="111">
        <f>'Scenario Metrics'!C40-'Baseline Metrics'!C40</f>
        <v>0.14000903572946255</v>
      </c>
      <c r="D40" s="100">
        <f>2500000</f>
        <v>2500000</v>
      </c>
      <c r="E40" s="73">
        <f>D40*C40</f>
        <v>350022.5893236564</v>
      </c>
      <c r="F40" s="28"/>
      <c r="G40" s="28"/>
      <c r="H40" s="28"/>
      <c r="I40" s="28"/>
      <c r="J40" s="28"/>
      <c r="K40" s="54"/>
      <c r="L40" s="28"/>
      <c r="M40" s="28"/>
      <c r="N40" s="10"/>
      <c r="O40" s="10"/>
      <c r="P40" s="10"/>
    </row>
    <row r="41" spans="2:16" x14ac:dyDescent="0.2">
      <c r="B41" s="79"/>
      <c r="C41" s="105"/>
      <c r="D41" s="80"/>
      <c r="E41" s="80"/>
      <c r="F41" s="28"/>
      <c r="G41" s="28"/>
      <c r="H41" s="28"/>
      <c r="I41" s="28"/>
      <c r="J41" s="28"/>
      <c r="K41" s="54"/>
      <c r="L41" s="28"/>
      <c r="M41" s="28"/>
      <c r="N41" s="10"/>
      <c r="O41" s="10"/>
      <c r="P41" s="10"/>
    </row>
    <row r="42" spans="2:16" x14ac:dyDescent="0.2">
      <c r="B42" s="3" t="s">
        <v>113</v>
      </c>
    </row>
    <row r="43" spans="2:16" ht="25.5" x14ac:dyDescent="0.2">
      <c r="B43" s="112" t="s">
        <v>71</v>
      </c>
      <c r="C43" s="44" t="s">
        <v>1</v>
      </c>
      <c r="D43" s="44" t="s">
        <v>17</v>
      </c>
      <c r="E43" s="113" t="s">
        <v>16</v>
      </c>
      <c r="G43" s="79"/>
      <c r="H43" s="79"/>
      <c r="I43" s="28"/>
      <c r="J43" s="28"/>
      <c r="K43" s="54"/>
      <c r="L43" s="28"/>
      <c r="M43" s="28"/>
    </row>
    <row r="44" spans="2:16" x14ac:dyDescent="0.2">
      <c r="B44" s="55" t="s">
        <v>6</v>
      </c>
      <c r="C44" s="66">
        <f>'Scenario Metrics'!C44-'Baseline Metrics'!C44</f>
        <v>6236.314062063524</v>
      </c>
      <c r="D44" s="114">
        <v>55.34</v>
      </c>
      <c r="E44" s="64">
        <f>D44*C44</f>
        <v>345117.62019459542</v>
      </c>
      <c r="G44" s="79"/>
      <c r="H44" s="79"/>
      <c r="I44" s="28"/>
      <c r="J44" s="28"/>
      <c r="K44" s="54"/>
      <c r="L44" s="28"/>
      <c r="M44" s="28"/>
    </row>
    <row r="45" spans="2:16" x14ac:dyDescent="0.2">
      <c r="B45" s="55" t="s">
        <v>7</v>
      </c>
      <c r="C45" s="66">
        <f>'Scenario Metrics'!C45-'Baseline Metrics'!C45</f>
        <v>157.78891671233646</v>
      </c>
      <c r="D45" s="114">
        <v>380</v>
      </c>
      <c r="E45" s="64">
        <f>D45*C45</f>
        <v>59959.788350687857</v>
      </c>
      <c r="G45" s="79"/>
      <c r="H45" s="79"/>
      <c r="I45" s="28"/>
      <c r="J45" s="28"/>
      <c r="K45" s="54"/>
      <c r="L45" s="28"/>
      <c r="M45" s="28"/>
    </row>
    <row r="46" spans="2:16" x14ac:dyDescent="0.2">
      <c r="B46" s="55" t="s">
        <v>8</v>
      </c>
      <c r="C46" s="66">
        <f>'Scenario Metrics'!C46-'Baseline Metrics'!C46</f>
        <v>4.8947480773862253</v>
      </c>
      <c r="D46" s="114">
        <v>9800</v>
      </c>
      <c r="E46" s="64">
        <f>D46*C46</f>
        <v>47968.531158385005</v>
      </c>
      <c r="G46" s="79"/>
      <c r="H46" s="79"/>
      <c r="I46" s="28"/>
      <c r="J46" s="28"/>
      <c r="K46" s="54"/>
      <c r="L46" s="28"/>
      <c r="M46" s="28"/>
    </row>
    <row r="47" spans="2:16" x14ac:dyDescent="0.2">
      <c r="B47" s="55" t="s">
        <v>9</v>
      </c>
      <c r="C47" s="66">
        <f>'Scenario Metrics'!C47-'Baseline Metrics'!C47</f>
        <v>0.1373714621511084</v>
      </c>
      <c r="D47" s="114">
        <v>7800</v>
      </c>
      <c r="E47" s="64">
        <f>D47*C47</f>
        <v>1071.4974047786454</v>
      </c>
      <c r="G47" s="79"/>
      <c r="H47" s="79"/>
      <c r="I47" s="28"/>
      <c r="J47" s="28"/>
      <c r="K47" s="54"/>
      <c r="L47" s="28"/>
      <c r="M47" s="28"/>
    </row>
    <row r="48" spans="2:16" x14ac:dyDescent="0.2">
      <c r="B48" s="74" t="s">
        <v>10</v>
      </c>
      <c r="C48" s="77">
        <f>'Scenario Metrics'!C48-'Baseline Metrics'!C48</f>
        <v>7.2061157104484082</v>
      </c>
      <c r="D48" s="115">
        <v>6500</v>
      </c>
      <c r="E48" s="73">
        <f>D48*C48</f>
        <v>46839.75211791465</v>
      </c>
      <c r="G48" s="79"/>
      <c r="H48" s="79"/>
      <c r="I48" s="28"/>
      <c r="J48" s="28"/>
      <c r="K48" s="54"/>
      <c r="L48" s="28"/>
      <c r="M48" s="28"/>
    </row>
    <row r="49" spans="2:16" x14ac:dyDescent="0.2">
      <c r="B49" s="79"/>
      <c r="C49" s="79"/>
      <c r="D49" s="79"/>
      <c r="E49" s="79"/>
      <c r="F49" s="79"/>
      <c r="G49" s="79"/>
      <c r="H49" s="79"/>
      <c r="I49" s="28"/>
      <c r="J49" s="28"/>
      <c r="K49" s="54"/>
      <c r="L49" s="28"/>
      <c r="M49" s="28"/>
    </row>
    <row r="50" spans="2:16" s="116" customFormat="1" x14ac:dyDescent="0.2">
      <c r="B50" s="3" t="s">
        <v>112</v>
      </c>
      <c r="C50" s="14"/>
      <c r="D50" s="14"/>
      <c r="E50" s="14"/>
      <c r="F50" s="14"/>
      <c r="G50" s="14"/>
      <c r="H50" s="14"/>
      <c r="I50" s="14"/>
      <c r="J50" s="14"/>
      <c r="K50" s="29"/>
      <c r="L50" s="14"/>
      <c r="M50" s="14"/>
      <c r="N50" s="117"/>
      <c r="O50" s="117"/>
      <c r="P50" s="117"/>
    </row>
    <row r="51" spans="2:16" ht="25.5" x14ac:dyDescent="0.2">
      <c r="B51" s="42" t="s">
        <v>19</v>
      </c>
      <c r="C51" s="84" t="s">
        <v>1</v>
      </c>
      <c r="D51" s="45"/>
      <c r="E51" s="45" t="s">
        <v>17</v>
      </c>
      <c r="F51" s="46" t="s">
        <v>16</v>
      </c>
      <c r="G51" s="79"/>
      <c r="H51" s="79"/>
    </row>
    <row r="52" spans="2:16" x14ac:dyDescent="0.2">
      <c r="B52" s="55" t="s">
        <v>51</v>
      </c>
      <c r="C52" s="79"/>
      <c r="D52" s="79"/>
      <c r="E52" s="79"/>
      <c r="F52" s="106"/>
      <c r="G52" s="79"/>
      <c r="H52" s="79"/>
    </row>
    <row r="53" spans="2:16" x14ac:dyDescent="0.2">
      <c r="B53" s="55" t="s">
        <v>0</v>
      </c>
      <c r="C53" s="79"/>
      <c r="D53" s="79"/>
      <c r="E53" s="79"/>
      <c r="F53" s="106"/>
      <c r="G53" s="79"/>
      <c r="H53" s="79"/>
    </row>
    <row r="54" spans="2:16" x14ac:dyDescent="0.2">
      <c r="B54" s="74" t="s">
        <v>14</v>
      </c>
      <c r="C54" s="118"/>
      <c r="D54" s="118"/>
      <c r="E54" s="118"/>
      <c r="F54" s="119"/>
      <c r="G54" s="79"/>
      <c r="H54" s="79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18" sqref="U18"/>
    </sheetView>
  </sheetViews>
  <sheetFormatPr defaultRowHeight="15" x14ac:dyDescent="0.25"/>
  <cols>
    <col min="1" max="16" width="9.140625" style="15"/>
    <col min="17" max="17" width="26.85546875" style="15" bestFit="1" customWidth="1"/>
    <col min="18" max="18" width="16.7109375" style="15" bestFit="1" customWidth="1"/>
    <col min="19" max="19" width="15.28515625" style="15" bestFit="1" customWidth="1"/>
    <col min="20" max="20" width="18" style="15" bestFit="1" customWidth="1"/>
    <col min="21" max="16384" width="9.140625" style="15"/>
  </cols>
  <sheetData>
    <row r="1" spans="1:22" s="7" customFormat="1" ht="26.25" thickBot="1" x14ac:dyDescent="0.4">
      <c r="A1" s="4" t="s">
        <v>130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</row>
    <row r="2" spans="1:22" ht="18.75" x14ac:dyDescent="0.3">
      <c r="A2" s="129" t="s">
        <v>131</v>
      </c>
    </row>
    <row r="4" spans="1:22" x14ac:dyDescent="0.25">
      <c r="Q4" s="42" t="s">
        <v>25</v>
      </c>
      <c r="R4" s="45" t="s">
        <v>132</v>
      </c>
      <c r="S4" s="46" t="s">
        <v>133</v>
      </c>
      <c r="T4" s="136" t="s">
        <v>139</v>
      </c>
    </row>
    <row r="5" spans="1:22" x14ac:dyDescent="0.25">
      <c r="Q5" s="55" t="s">
        <v>134</v>
      </c>
      <c r="R5" s="137">
        <v>635</v>
      </c>
      <c r="S5" s="138">
        <v>196</v>
      </c>
      <c r="T5" s="132">
        <f>SUM(R5:S5)</f>
        <v>831</v>
      </c>
      <c r="U5" s="15" t="s">
        <v>137</v>
      </c>
      <c r="V5" s="15">
        <v>300</v>
      </c>
    </row>
    <row r="6" spans="1:22" x14ac:dyDescent="0.25">
      <c r="Q6" s="55" t="s">
        <v>135</v>
      </c>
      <c r="R6" s="139">
        <v>1588980000</v>
      </c>
      <c r="S6" s="140">
        <v>492044000</v>
      </c>
      <c r="T6" s="133">
        <f t="shared" ref="T6:T8" si="0">SUM(R6:S6)</f>
        <v>2081024000</v>
      </c>
    </row>
    <row r="7" spans="1:22" x14ac:dyDescent="0.25">
      <c r="Q7" s="23" t="s">
        <v>136</v>
      </c>
      <c r="R7" s="130">
        <f>R5/$V$5</f>
        <v>2.1166666666666667</v>
      </c>
      <c r="S7" s="131">
        <f>S5/$V$5</f>
        <v>0.65333333333333332</v>
      </c>
      <c r="T7" s="132">
        <f t="shared" si="0"/>
        <v>2.77</v>
      </c>
    </row>
    <row r="8" spans="1:22" x14ac:dyDescent="0.25">
      <c r="Q8" s="38" t="s">
        <v>138</v>
      </c>
      <c r="R8" s="134">
        <f>R6/$V$5</f>
        <v>5296600</v>
      </c>
      <c r="S8" s="135">
        <f>S6/$V$5</f>
        <v>1640146.6666666667</v>
      </c>
      <c r="T8" s="135">
        <f t="shared" si="0"/>
        <v>6936746.666666667</v>
      </c>
    </row>
    <row r="12" spans="1:22" x14ac:dyDescent="0.25">
      <c r="Q12" s="161" t="s">
        <v>140</v>
      </c>
      <c r="R12" s="162"/>
      <c r="S12" s="162"/>
      <c r="T12" s="162"/>
    </row>
    <row r="13" spans="1:22" x14ac:dyDescent="0.25">
      <c r="Q13" s="162"/>
      <c r="R13" s="162"/>
      <c r="S13" s="162"/>
      <c r="T13" s="162"/>
    </row>
  </sheetData>
  <mergeCells count="1">
    <mergeCell ref="Q12:T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workbookViewId="0">
      <selection activeCell="E23" sqref="E23"/>
    </sheetView>
  </sheetViews>
  <sheetFormatPr defaultRowHeight="15" x14ac:dyDescent="0.25"/>
  <cols>
    <col min="1" max="6" width="26.42578125" style="1" customWidth="1"/>
    <col min="7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440263</v>
      </c>
      <c r="C3" s="1">
        <v>3745413</v>
      </c>
    </row>
    <row r="22" spans="1:5" x14ac:dyDescent="0.25">
      <c r="A22" s="1" t="s">
        <v>56</v>
      </c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20078.151816686699</v>
      </c>
      <c r="C23" s="1">
        <v>0</v>
      </c>
      <c r="D23" s="1">
        <v>138281.874327197</v>
      </c>
      <c r="E23" s="1">
        <v>0</v>
      </c>
    </row>
    <row r="24" spans="1:5" x14ac:dyDescent="0.25">
      <c r="A24" s="2" t="s">
        <v>58</v>
      </c>
      <c r="B24" s="1">
        <v>95144.347853686995</v>
      </c>
      <c r="C24" s="1">
        <v>4462957.4089607801</v>
      </c>
      <c r="D24" s="1">
        <v>935407.64071463002</v>
      </c>
      <c r="E24" s="1">
        <v>436833.99717360397</v>
      </c>
    </row>
    <row r="25" spans="1:5" x14ac:dyDescent="0.25">
      <c r="A25" s="2" t="s">
        <v>59</v>
      </c>
      <c r="B25" s="1">
        <v>58471.533332225998</v>
      </c>
      <c r="C25" s="1">
        <v>2949065.8912202101</v>
      </c>
      <c r="D25" s="1">
        <v>615282.93037830701</v>
      </c>
      <c r="E25" s="1">
        <v>266991.87199106498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146870.333044022</v>
      </c>
      <c r="C27" s="1">
        <v>9646766.8723895308</v>
      </c>
      <c r="D27" s="1">
        <v>1982534.7314162899</v>
      </c>
      <c r="E27" s="1">
        <v>659737.83198121004</v>
      </c>
    </row>
    <row r="28" spans="1:5" x14ac:dyDescent="0.25">
      <c r="A28" s="2" t="s">
        <v>61</v>
      </c>
      <c r="B28" s="1">
        <v>7093.4707959244697</v>
      </c>
      <c r="C28" s="1">
        <v>260648.77409833501</v>
      </c>
      <c r="D28" s="1">
        <v>65885.329583662606</v>
      </c>
      <c r="E28" s="1">
        <v>25970.070098459499</v>
      </c>
    </row>
    <row r="29" spans="1:5" x14ac:dyDescent="0.25">
      <c r="A29" s="2" t="s">
        <v>62</v>
      </c>
      <c r="B29" s="1">
        <v>51303.543470418699</v>
      </c>
      <c r="C29" s="1">
        <v>503947.85000004398</v>
      </c>
      <c r="D29" s="1">
        <v>308150.83533886302</v>
      </c>
      <c r="E29" s="1">
        <v>84778.318999997005</v>
      </c>
    </row>
    <row r="30" spans="1:5" x14ac:dyDescent="0.25">
      <c r="A30" s="2" t="s">
        <v>63</v>
      </c>
      <c r="B30" s="1">
        <v>210568.17040205299</v>
      </c>
      <c r="C30" s="1">
        <v>0</v>
      </c>
      <c r="D30" s="1">
        <v>1396649.27340612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135714</v>
      </c>
      <c r="C43" s="1">
        <v>1412252</v>
      </c>
      <c r="D43" s="1">
        <v>942434</v>
      </c>
      <c r="E43" s="1">
        <v>1845633</v>
      </c>
      <c r="F43" s="1">
        <v>169267</v>
      </c>
      <c r="G43" s="1">
        <v>222764</v>
      </c>
      <c r="H43" s="1">
        <v>921680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19872</v>
      </c>
      <c r="C63" s="1">
        <v>149538</v>
      </c>
      <c r="D63" s="1">
        <v>95276</v>
      </c>
      <c r="E63" s="1">
        <v>161956</v>
      </c>
      <c r="F63" s="1">
        <v>18740</v>
      </c>
      <c r="G63" s="1">
        <v>34775</v>
      </c>
      <c r="H63" s="1">
        <v>125840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58745138.403274603</v>
      </c>
    </row>
    <row r="84" spans="1:3" x14ac:dyDescent="0.25">
      <c r="A84" s="2">
        <v>0</v>
      </c>
      <c r="B84" s="1" t="s">
        <v>64</v>
      </c>
      <c r="C84" s="1">
        <v>5385688.7966662701</v>
      </c>
    </row>
    <row r="85" spans="1:3" x14ac:dyDescent="0.25">
      <c r="A85" s="2">
        <v>1</v>
      </c>
      <c r="B85" s="1" t="s">
        <v>14</v>
      </c>
      <c r="C85" s="1">
        <v>2144119.9397972901</v>
      </c>
    </row>
    <row r="86" spans="1:3" x14ac:dyDescent="0.25">
      <c r="A86" s="2">
        <v>3</v>
      </c>
      <c r="B86" s="1" t="s">
        <v>65</v>
      </c>
      <c r="C86" s="1">
        <v>125951.76311584099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61.135273145229696</v>
      </c>
    </row>
    <row r="104" spans="1:3" x14ac:dyDescent="0.25">
      <c r="A104" s="2">
        <v>6</v>
      </c>
      <c r="B104" s="1" t="s">
        <v>78</v>
      </c>
      <c r="C104" s="1">
        <v>60.622439060044897</v>
      </c>
    </row>
    <row r="105" spans="1:3" x14ac:dyDescent="0.25">
      <c r="A105" s="2">
        <v>7</v>
      </c>
      <c r="B105" s="1" t="s">
        <v>142</v>
      </c>
      <c r="C105" s="1">
        <v>115.252966022127</v>
      </c>
    </row>
    <row r="106" spans="1:3" x14ac:dyDescent="0.25">
      <c r="A106" s="2">
        <v>0</v>
      </c>
      <c r="B106" s="1" t="s">
        <v>143</v>
      </c>
      <c r="C106" s="1">
        <v>105.370569104704</v>
      </c>
    </row>
    <row r="107" spans="1:3" x14ac:dyDescent="0.25">
      <c r="A107" s="2">
        <v>2</v>
      </c>
      <c r="B107" s="1" t="s">
        <v>13</v>
      </c>
      <c r="C107" s="1">
        <v>135714</v>
      </c>
    </row>
    <row r="108" spans="1:3" x14ac:dyDescent="0.25">
      <c r="A108" s="2">
        <v>3</v>
      </c>
      <c r="B108" s="1" t="s">
        <v>79</v>
      </c>
      <c r="C108" s="1">
        <v>19872</v>
      </c>
    </row>
    <row r="109" spans="1:3" x14ac:dyDescent="0.25">
      <c r="A109" s="2">
        <v>1</v>
      </c>
      <c r="B109" s="1" t="s">
        <v>144</v>
      </c>
      <c r="C109" s="1">
        <v>150316</v>
      </c>
    </row>
    <row r="110" spans="1:3" x14ac:dyDescent="0.25">
      <c r="A110" s="2">
        <v>5</v>
      </c>
      <c r="B110" s="1" t="s">
        <v>145</v>
      </c>
      <c r="C110" s="1">
        <v>1070251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32998.328821329502</v>
      </c>
      <c r="C123" s="1">
        <v>1549.42946346483</v>
      </c>
      <c r="D123" s="1">
        <v>0</v>
      </c>
      <c r="E123" s="1">
        <v>4176.8392065477201</v>
      </c>
    </row>
    <row r="124" spans="1:5" x14ac:dyDescent="0.25">
      <c r="A124" s="2" t="s">
        <v>32</v>
      </c>
      <c r="B124" s="1">
        <v>1016.84951772081</v>
      </c>
      <c r="C124" s="1">
        <v>2.3507057285806701</v>
      </c>
      <c r="D124" s="1">
        <v>0</v>
      </c>
      <c r="E124" s="1">
        <v>6.1977099834677496</v>
      </c>
    </row>
    <row r="125" spans="1:5" x14ac:dyDescent="0.25">
      <c r="A125" s="2" t="s">
        <v>33</v>
      </c>
      <c r="B125" s="1">
        <v>31.603177081125502</v>
      </c>
      <c r="C125" s="1">
        <v>0.42737634180412298</v>
      </c>
      <c r="D125" s="1">
        <v>0</v>
      </c>
      <c r="E125" s="1">
        <v>1.0655730351751</v>
      </c>
    </row>
    <row r="126" spans="1:5" x14ac:dyDescent="0.25">
      <c r="A126" s="2" t="s">
        <v>34</v>
      </c>
      <c r="B126" s="1">
        <v>0.90151596917991705</v>
      </c>
      <c r="C126" s="1">
        <v>3.8852000638869101E-2</v>
      </c>
      <c r="D126" s="1">
        <v>0</v>
      </c>
      <c r="E126" s="1">
        <v>0.101268638572356</v>
      </c>
    </row>
    <row r="127" spans="1:5" x14ac:dyDescent="0.25">
      <c r="A127" s="2" t="s">
        <v>35</v>
      </c>
      <c r="B127" s="1">
        <v>40.4128604721977</v>
      </c>
      <c r="C127" s="1">
        <v>0.19305575553050999</v>
      </c>
      <c r="D127" s="1">
        <v>0</v>
      </c>
      <c r="E127" s="1">
        <v>0.53193160611777801</v>
      </c>
    </row>
    <row r="128" spans="1:5" x14ac:dyDescent="0.25">
      <c r="A128" s="2" t="s">
        <v>31</v>
      </c>
      <c r="B128" s="1">
        <v>1826127.51697237</v>
      </c>
      <c r="C128" s="1">
        <v>85745.426508143501</v>
      </c>
      <c r="D128" s="1">
        <v>0</v>
      </c>
      <c r="E128" s="1">
        <v>231146.281690351</v>
      </c>
    </row>
    <row r="129" spans="1:5" x14ac:dyDescent="0.25">
      <c r="A129" s="2" t="s">
        <v>32</v>
      </c>
      <c r="B129" s="1">
        <v>386402.81673390698</v>
      </c>
      <c r="C129" s="1">
        <v>893.26817686065601</v>
      </c>
      <c r="D129" s="1">
        <v>0</v>
      </c>
      <c r="E129" s="1">
        <v>2355.1297937177401</v>
      </c>
    </row>
    <row r="130" spans="1:5" x14ac:dyDescent="0.25">
      <c r="A130" s="2" t="s">
        <v>33</v>
      </c>
      <c r="B130" s="1">
        <v>309711.13539503003</v>
      </c>
      <c r="C130" s="1">
        <v>4188.2881496804002</v>
      </c>
      <c r="D130" s="1">
        <v>0</v>
      </c>
      <c r="E130" s="1">
        <v>10442.6157447159</v>
      </c>
    </row>
    <row r="131" spans="1:5" x14ac:dyDescent="0.25">
      <c r="A131" s="2" t="s">
        <v>35</v>
      </c>
      <c r="B131" s="1">
        <v>315220.31168314198</v>
      </c>
      <c r="C131" s="1">
        <v>1505.8348931379801</v>
      </c>
      <c r="D131" s="1">
        <v>0</v>
      </c>
      <c r="E131" s="1">
        <v>4149.0665277186699</v>
      </c>
    </row>
    <row r="132" spans="1:5" x14ac:dyDescent="0.25">
      <c r="A132" s="2" t="s">
        <v>34</v>
      </c>
      <c r="B132" s="1">
        <v>5859.8537996694604</v>
      </c>
      <c r="C132" s="1">
        <v>252.53800415264899</v>
      </c>
      <c r="D132" s="1">
        <v>0</v>
      </c>
      <c r="E132" s="1">
        <v>658.24615072031202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77716893.894820496</v>
      </c>
      <c r="C143" s="1">
        <v>3677707.0659114099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31778582.410302799</v>
      </c>
      <c r="G163" s="1">
        <v>46.301394571811102</v>
      </c>
      <c r="H163" s="1">
        <v>22.375840110995199</v>
      </c>
      <c r="I163" s="1">
        <v>0.41312157133393601</v>
      </c>
      <c r="J163" s="1">
        <v>120383.62588670899</v>
      </c>
      <c r="K163" s="1">
        <v>1689375928380.1299</v>
      </c>
      <c r="L163" s="1">
        <v>1032803928334.84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4596828.5440923804</v>
      </c>
      <c r="G164" s="1">
        <v>6.6975791887425897</v>
      </c>
      <c r="H164" s="1">
        <v>3.7947555124049601</v>
      </c>
      <c r="I164" s="1">
        <v>7.0331476724613304E-2</v>
      </c>
      <c r="J164" s="1">
        <v>17413.7058907307</v>
      </c>
      <c r="K164" s="1">
        <v>286504041186.57501</v>
      </c>
      <c r="L164" s="1">
        <v>175828691811.53299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21408384.468215398</v>
      </c>
      <c r="G165" s="1">
        <v>31.192016170189898</v>
      </c>
      <c r="H165" s="1">
        <v>17.672963912663299</v>
      </c>
      <c r="I165" s="1">
        <v>0.32754828236369599</v>
      </c>
      <c r="J165" s="1">
        <v>81099.242042493701</v>
      </c>
      <c r="K165" s="1">
        <v>1334308775406.0801</v>
      </c>
      <c r="L165" s="1">
        <v>818870705909.23999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6589326.3064214299</v>
      </c>
      <c r="G166" s="1">
        <v>9.6006484284560205</v>
      </c>
      <c r="H166" s="1">
        <v>5.4395942951717897</v>
      </c>
      <c r="I166" s="1">
        <v>0.100816692488248</v>
      </c>
      <c r="J166" s="1">
        <v>24961.685913985701</v>
      </c>
      <c r="K166" s="1">
        <v>410689369285.46997</v>
      </c>
      <c r="L166" s="1">
        <v>252041731220.62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6"/>
  <sheetViews>
    <sheetView topLeftCell="A37" workbookViewId="0">
      <selection activeCell="B113" sqref="B113"/>
    </sheetView>
  </sheetViews>
  <sheetFormatPr defaultRowHeight="15" x14ac:dyDescent="0.25"/>
  <cols>
    <col min="1" max="1" width="18.85546875" style="1" customWidth="1"/>
    <col min="2" max="2" width="43.85546875" style="1" customWidth="1"/>
    <col min="3" max="17" width="18.85546875" style="1" customWidth="1"/>
    <col min="18" max="16384" width="9.140625" style="1"/>
  </cols>
  <sheetData>
    <row r="2" spans="1:3" x14ac:dyDescent="0.25">
      <c r="B2" s="2" t="s">
        <v>75</v>
      </c>
      <c r="C2" s="2" t="s">
        <v>76</v>
      </c>
    </row>
    <row r="3" spans="1:3" x14ac:dyDescent="0.25">
      <c r="A3" s="2">
        <v>0</v>
      </c>
      <c r="B3" s="1">
        <v>894825</v>
      </c>
      <c r="C3" s="1">
        <v>4771555</v>
      </c>
    </row>
    <row r="22" spans="1:5" x14ac:dyDescent="0.25">
      <c r="B22" s="2" t="s">
        <v>52</v>
      </c>
      <c r="C22" s="2" t="s">
        <v>53</v>
      </c>
      <c r="D22" s="2" t="s">
        <v>54</v>
      </c>
      <c r="E22" s="2" t="s">
        <v>55</v>
      </c>
    </row>
    <row r="23" spans="1:5" x14ac:dyDescent="0.25">
      <c r="A23" s="2" t="s">
        <v>57</v>
      </c>
      <c r="B23" s="1">
        <v>46679.723674947898</v>
      </c>
      <c r="C23" s="1">
        <v>0</v>
      </c>
      <c r="D23" s="1">
        <v>201930.05562972499</v>
      </c>
      <c r="E23" s="1">
        <v>0</v>
      </c>
    </row>
    <row r="24" spans="1:5" x14ac:dyDescent="0.25">
      <c r="A24" s="2" t="s">
        <v>58</v>
      </c>
      <c r="B24" s="1">
        <v>192516.19924065401</v>
      </c>
      <c r="C24" s="1">
        <v>5283712.48112268</v>
      </c>
      <c r="D24" s="1">
        <v>1172723.47158211</v>
      </c>
      <c r="E24" s="1">
        <v>853793.31498340098</v>
      </c>
    </row>
    <row r="25" spans="1:5" x14ac:dyDescent="0.25">
      <c r="A25" s="2" t="s">
        <v>59</v>
      </c>
      <c r="B25" s="1">
        <v>95745.838621486502</v>
      </c>
      <c r="C25" s="1">
        <v>3171474.2382774302</v>
      </c>
      <c r="D25" s="1">
        <v>702617.10985991603</v>
      </c>
      <c r="E25" s="1">
        <v>422046.62438658398</v>
      </c>
    </row>
    <row r="26" spans="1:5" x14ac:dyDescent="0.25">
      <c r="A26" s="2" t="s">
        <v>141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2" t="s">
        <v>60</v>
      </c>
      <c r="B27" s="1">
        <v>385304.87288529699</v>
      </c>
      <c r="C27" s="1">
        <v>11931449.5974964</v>
      </c>
      <c r="D27" s="1">
        <v>2623498.2341630999</v>
      </c>
      <c r="E27" s="1">
        <v>1671691.64876577</v>
      </c>
    </row>
    <row r="28" spans="1:5" x14ac:dyDescent="0.25">
      <c r="A28" s="2" t="s">
        <v>61</v>
      </c>
      <c r="B28" s="1">
        <v>11423.2763316701</v>
      </c>
      <c r="C28" s="1">
        <v>294516.85979613202</v>
      </c>
      <c r="D28" s="1">
        <v>78999.845582397</v>
      </c>
      <c r="E28" s="1">
        <v>40814.7180705555</v>
      </c>
    </row>
    <row r="29" spans="1:5" x14ac:dyDescent="0.25">
      <c r="A29" s="2" t="s">
        <v>62</v>
      </c>
      <c r="B29" s="1">
        <v>127269.974107152</v>
      </c>
      <c r="C29" s="1">
        <v>765214.92899995099</v>
      </c>
      <c r="D29" s="1">
        <v>508867.97084754799</v>
      </c>
      <c r="E29" s="1">
        <v>196740.23300000399</v>
      </c>
    </row>
    <row r="30" spans="1:5" x14ac:dyDescent="0.25">
      <c r="A30" s="2" t="s">
        <v>63</v>
      </c>
      <c r="B30" s="1">
        <v>449012.09143626102</v>
      </c>
      <c r="C30" s="1">
        <v>0</v>
      </c>
      <c r="D30" s="1">
        <v>2002291.2315626901</v>
      </c>
      <c r="E30" s="1">
        <v>0</v>
      </c>
    </row>
    <row r="42" spans="1:8" x14ac:dyDescent="0.25">
      <c r="B42" s="2" t="s">
        <v>57</v>
      </c>
      <c r="C42" s="2" t="s">
        <v>58</v>
      </c>
      <c r="D42" s="2" t="s">
        <v>59</v>
      </c>
      <c r="E42" s="2" t="s">
        <v>60</v>
      </c>
      <c r="F42" s="2" t="s">
        <v>61</v>
      </c>
      <c r="G42" s="2" t="s">
        <v>62</v>
      </c>
      <c r="H42" s="2" t="s">
        <v>63</v>
      </c>
    </row>
    <row r="43" spans="1:8" x14ac:dyDescent="0.25">
      <c r="A43" s="2" t="s">
        <v>77</v>
      </c>
      <c r="B43" s="1">
        <v>192864</v>
      </c>
      <c r="C43" s="1">
        <v>1727514</v>
      </c>
      <c r="D43" s="1">
        <v>1070852</v>
      </c>
      <c r="E43" s="1">
        <v>2388042</v>
      </c>
      <c r="F43" s="1">
        <v>194419</v>
      </c>
      <c r="G43" s="1">
        <v>362554</v>
      </c>
      <c r="H43" s="1">
        <v>1327387</v>
      </c>
    </row>
    <row r="62" spans="1:8" x14ac:dyDescent="0.25">
      <c r="B62" s="2" t="s">
        <v>57</v>
      </c>
      <c r="C62" s="2" t="s">
        <v>58</v>
      </c>
      <c r="D62" s="2" t="s">
        <v>59</v>
      </c>
      <c r="E62" s="2" t="s">
        <v>60</v>
      </c>
      <c r="F62" s="2" t="s">
        <v>61</v>
      </c>
      <c r="G62" s="2" t="s">
        <v>62</v>
      </c>
      <c r="H62" s="2" t="s">
        <v>63</v>
      </c>
    </row>
    <row r="63" spans="1:8" x14ac:dyDescent="0.25">
      <c r="A63" s="2" t="s">
        <v>77</v>
      </c>
      <c r="B63" s="1">
        <v>43085</v>
      </c>
      <c r="C63" s="1">
        <v>284271</v>
      </c>
      <c r="D63" s="1">
        <v>153135</v>
      </c>
      <c r="E63" s="1">
        <v>382455</v>
      </c>
      <c r="F63" s="1">
        <v>28339</v>
      </c>
      <c r="G63" s="1">
        <v>85277</v>
      </c>
      <c r="H63" s="1">
        <v>275047</v>
      </c>
    </row>
    <row r="82" spans="1:3" x14ac:dyDescent="0.25">
      <c r="B82" s="2" t="s">
        <v>25</v>
      </c>
      <c r="C82" s="2" t="s">
        <v>23</v>
      </c>
    </row>
    <row r="83" spans="1:3" x14ac:dyDescent="0.25">
      <c r="A83" s="2">
        <v>2</v>
      </c>
      <c r="B83" s="1" t="s">
        <v>24</v>
      </c>
      <c r="C83" s="1">
        <v>74304866.556520596</v>
      </c>
    </row>
    <row r="84" spans="1:3" x14ac:dyDescent="0.25">
      <c r="A84" s="2">
        <v>0</v>
      </c>
      <c r="B84" s="1" t="s">
        <v>64</v>
      </c>
      <c r="C84" s="1">
        <v>12086255.966665801</v>
      </c>
    </row>
    <row r="85" spans="1:3" x14ac:dyDescent="0.25">
      <c r="A85" s="2">
        <v>1</v>
      </c>
      <c r="B85" s="1" t="s">
        <v>14</v>
      </c>
      <c r="C85" s="1">
        <v>2898230.2563038701</v>
      </c>
    </row>
    <row r="86" spans="1:3" x14ac:dyDescent="0.25">
      <c r="A86" s="2">
        <v>3</v>
      </c>
      <c r="B86" s="1" t="s">
        <v>65</v>
      </c>
      <c r="C86" s="1">
        <v>338701.39160453703</v>
      </c>
    </row>
    <row r="102" spans="1:3" x14ac:dyDescent="0.25">
      <c r="B102" s="2" t="s">
        <v>25</v>
      </c>
      <c r="C102" s="2" t="s">
        <v>23</v>
      </c>
    </row>
    <row r="103" spans="1:3" x14ac:dyDescent="0.25">
      <c r="A103" s="2">
        <v>4</v>
      </c>
      <c r="B103" s="1" t="s">
        <v>26</v>
      </c>
      <c r="C103" s="1">
        <v>62.820450357678901</v>
      </c>
    </row>
    <row r="104" spans="1:3" x14ac:dyDescent="0.25">
      <c r="A104" s="2">
        <v>6</v>
      </c>
      <c r="B104" s="1" t="s">
        <v>78</v>
      </c>
      <c r="C104" s="1">
        <v>65.005997922638201</v>
      </c>
    </row>
    <row r="105" spans="1:3" x14ac:dyDescent="0.25">
      <c r="A105" s="2">
        <v>7</v>
      </c>
      <c r="B105" s="1" t="s">
        <v>142</v>
      </c>
      <c r="C105" s="1">
        <v>113.09798627069701</v>
      </c>
    </row>
    <row r="106" spans="1:3" x14ac:dyDescent="0.25">
      <c r="A106" s="2">
        <v>0</v>
      </c>
      <c r="B106" s="1" t="s">
        <v>143</v>
      </c>
      <c r="C106" s="1">
        <v>104.91706106995601</v>
      </c>
    </row>
    <row r="107" spans="1:3" x14ac:dyDescent="0.25">
      <c r="A107" s="2">
        <v>2</v>
      </c>
      <c r="B107" s="1" t="s">
        <v>13</v>
      </c>
      <c r="C107" s="1">
        <v>192864</v>
      </c>
    </row>
    <row r="108" spans="1:3" x14ac:dyDescent="0.25">
      <c r="A108" s="2">
        <v>3</v>
      </c>
      <c r="B108" s="1" t="s">
        <v>79</v>
      </c>
      <c r="C108" s="1">
        <v>43085</v>
      </c>
    </row>
    <row r="109" spans="1:3" x14ac:dyDescent="0.25">
      <c r="A109" s="2">
        <v>1</v>
      </c>
      <c r="B109" s="1" t="s">
        <v>144</v>
      </c>
      <c r="C109" s="1">
        <v>333874</v>
      </c>
    </row>
    <row r="110" spans="1:3" x14ac:dyDescent="0.25">
      <c r="A110" s="2">
        <v>5</v>
      </c>
      <c r="B110" s="1" t="s">
        <v>145</v>
      </c>
      <c r="C110" s="1">
        <v>1563494</v>
      </c>
    </row>
    <row r="122" spans="1:5" x14ac:dyDescent="0.25">
      <c r="B122" s="2" t="s">
        <v>27</v>
      </c>
      <c r="C122" s="2" t="s">
        <v>28</v>
      </c>
      <c r="D122" s="2" t="s">
        <v>29</v>
      </c>
      <c r="E122" s="2" t="s">
        <v>30</v>
      </c>
    </row>
    <row r="123" spans="1:5" x14ac:dyDescent="0.25">
      <c r="A123" s="2" t="s">
        <v>31</v>
      </c>
      <c r="B123" s="1">
        <v>39232.8954690514</v>
      </c>
      <c r="C123" s="1">
        <v>1589.89856515312</v>
      </c>
      <c r="D123" s="1">
        <v>0</v>
      </c>
      <c r="E123" s="1">
        <v>4138.1175192010596</v>
      </c>
    </row>
    <row r="124" spans="1:5" x14ac:dyDescent="0.25">
      <c r="A124" s="2" t="s">
        <v>32</v>
      </c>
      <c r="B124" s="1">
        <v>1174.6219657407901</v>
      </c>
      <c r="C124" s="1">
        <v>2.4052041863076301</v>
      </c>
      <c r="D124" s="1">
        <v>0</v>
      </c>
      <c r="E124" s="1">
        <v>6.1596802180973604</v>
      </c>
    </row>
    <row r="125" spans="1:5" x14ac:dyDescent="0.25">
      <c r="A125" s="2" t="s">
        <v>33</v>
      </c>
      <c r="B125" s="1">
        <v>36.594429326935497</v>
      </c>
      <c r="C125" s="1">
        <v>0.41013850321954998</v>
      </c>
      <c r="D125" s="1">
        <v>0</v>
      </c>
      <c r="E125" s="1">
        <v>0.98630670533589604</v>
      </c>
    </row>
    <row r="126" spans="1:5" x14ac:dyDescent="0.25">
      <c r="A126" s="2" t="s">
        <v>34</v>
      </c>
      <c r="B126" s="1">
        <v>1.0438307515721099</v>
      </c>
      <c r="C126" s="1">
        <v>3.8508196749559603E-2</v>
      </c>
      <c r="D126" s="1">
        <v>0</v>
      </c>
      <c r="E126" s="1">
        <v>9.6669122220581105E-2</v>
      </c>
    </row>
    <row r="127" spans="1:5" x14ac:dyDescent="0.25">
      <c r="A127" s="2" t="s">
        <v>35</v>
      </c>
      <c r="B127" s="1">
        <v>47.594862253086099</v>
      </c>
      <c r="C127" s="1">
        <v>0.204643868803291</v>
      </c>
      <c r="D127" s="1">
        <v>0</v>
      </c>
      <c r="E127" s="1">
        <v>0.54445742240500905</v>
      </c>
    </row>
    <row r="128" spans="1:5" x14ac:dyDescent="0.25">
      <c r="A128" s="2" t="s">
        <v>31</v>
      </c>
      <c r="B128" s="1">
        <v>2171148.4352572998</v>
      </c>
      <c r="C128" s="1">
        <v>87984.986595573602</v>
      </c>
      <c r="D128" s="1">
        <v>0</v>
      </c>
      <c r="E128" s="1">
        <v>229003.423512587</v>
      </c>
    </row>
    <row r="129" spans="1:5" x14ac:dyDescent="0.25">
      <c r="A129" s="2" t="s">
        <v>32</v>
      </c>
      <c r="B129" s="1">
        <v>446356.34698149998</v>
      </c>
      <c r="C129" s="1">
        <v>913.97759079689797</v>
      </c>
      <c r="D129" s="1">
        <v>0</v>
      </c>
      <c r="E129" s="1">
        <v>2340.6784828770001</v>
      </c>
    </row>
    <row r="130" spans="1:5" x14ac:dyDescent="0.25">
      <c r="A130" s="2" t="s">
        <v>33</v>
      </c>
      <c r="B130" s="1">
        <v>358625.40740396798</v>
      </c>
      <c r="C130" s="1">
        <v>4019.3573315515901</v>
      </c>
      <c r="D130" s="1">
        <v>0</v>
      </c>
      <c r="E130" s="1">
        <v>9665.8057122917908</v>
      </c>
    </row>
    <row r="131" spans="1:5" x14ac:dyDescent="0.25">
      <c r="A131" s="2" t="s">
        <v>35</v>
      </c>
      <c r="B131" s="1">
        <v>371239.925574072</v>
      </c>
      <c r="C131" s="1">
        <v>1596.2221766656701</v>
      </c>
      <c r="D131" s="1">
        <v>0</v>
      </c>
      <c r="E131" s="1">
        <v>4246.7678947590703</v>
      </c>
    </row>
    <row r="132" spans="1:5" x14ac:dyDescent="0.25">
      <c r="A132" s="2" t="s">
        <v>34</v>
      </c>
      <c r="B132" s="1">
        <v>6784.8998852187297</v>
      </c>
      <c r="C132" s="1">
        <v>250.30327887213701</v>
      </c>
      <c r="D132" s="1">
        <v>0</v>
      </c>
      <c r="E132" s="1">
        <v>628.349294433777</v>
      </c>
    </row>
    <row r="142" spans="1:5" x14ac:dyDescent="0.25">
      <c r="B142" s="2" t="s">
        <v>36</v>
      </c>
      <c r="C142" s="2" t="s">
        <v>37</v>
      </c>
    </row>
    <row r="143" spans="1:5" x14ac:dyDescent="0.25">
      <c r="A143" s="2">
        <v>0</v>
      </c>
      <c r="B143" s="1">
        <v>89985409.618285596</v>
      </c>
      <c r="C143" s="1">
        <v>3547961.1278252099</v>
      </c>
    </row>
    <row r="162" spans="1:12" x14ac:dyDescent="0.25">
      <c r="B162" s="2" t="s">
        <v>38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 t="s">
        <v>43</v>
      </c>
      <c r="H162" s="2" t="s">
        <v>44</v>
      </c>
      <c r="I162" s="2" t="s">
        <v>45</v>
      </c>
      <c r="J162" s="2" t="s">
        <v>46</v>
      </c>
      <c r="K162" s="2" t="s">
        <v>47</v>
      </c>
      <c r="L162" s="2" t="s">
        <v>48</v>
      </c>
    </row>
    <row r="163" spans="1:12" x14ac:dyDescent="0.25">
      <c r="A163" s="2">
        <v>0</v>
      </c>
      <c r="B163" s="1">
        <v>1</v>
      </c>
      <c r="C163" s="1">
        <v>1.4570000000000001</v>
      </c>
      <c r="D163" s="1">
        <v>0.70411699999999999</v>
      </c>
      <c r="E163" s="1">
        <v>1.2999999999999999E-2</v>
      </c>
      <c r="F163" s="1">
        <v>34559949.7878526</v>
      </c>
      <c r="G163" s="1">
        <v>50.353846840901198</v>
      </c>
      <c r="H163" s="1">
        <v>24.334248164773399</v>
      </c>
      <c r="I163" s="1">
        <v>0.44927934724208302</v>
      </c>
      <c r="J163" s="1">
        <v>130920.001786343</v>
      </c>
      <c r="K163" s="1">
        <v>1837235736440.3899</v>
      </c>
      <c r="L163" s="1">
        <v>1123198368105.21</v>
      </c>
    </row>
    <row r="164" spans="1:12" x14ac:dyDescent="0.25">
      <c r="A164" s="2">
        <v>1</v>
      </c>
      <c r="B164" s="1">
        <v>3</v>
      </c>
      <c r="C164" s="1">
        <v>1.4570000000000001</v>
      </c>
      <c r="D164" s="1">
        <v>0.82551600000000003</v>
      </c>
      <c r="E164" s="1">
        <v>1.5299999999999999E-2</v>
      </c>
      <c r="F164" s="1">
        <v>5217474.0824122699</v>
      </c>
      <c r="G164" s="1">
        <v>7.6018597380746797</v>
      </c>
      <c r="H164" s="1">
        <v>4.3071083346166503</v>
      </c>
      <c r="I164" s="1">
        <v>7.9827353460907802E-2</v>
      </c>
      <c r="J164" s="1">
        <v>19764.835318994199</v>
      </c>
      <c r="K164" s="1">
        <v>325186679263.55701</v>
      </c>
      <c r="L164" s="1">
        <v>199568383652.26901</v>
      </c>
    </row>
    <row r="165" spans="1:12" x14ac:dyDescent="0.25">
      <c r="A165" s="2">
        <v>2</v>
      </c>
      <c r="B165" s="1">
        <v>5</v>
      </c>
      <c r="C165" s="1">
        <v>1.4570000000000001</v>
      </c>
      <c r="D165" s="1">
        <v>0.82551600000000003</v>
      </c>
      <c r="E165" s="1">
        <v>1.5299999999999999E-2</v>
      </c>
      <c r="F165" s="1">
        <v>26171608.485614698</v>
      </c>
      <c r="G165" s="1">
        <v>38.132033563540602</v>
      </c>
      <c r="H165" s="1">
        <v>21.605081550610699</v>
      </c>
      <c r="I165" s="1">
        <v>0.40042560982990399</v>
      </c>
      <c r="J165" s="1">
        <v>99143.287265205407</v>
      </c>
      <c r="K165" s="1">
        <v>1631183657071.1101</v>
      </c>
      <c r="L165" s="1">
        <v>1001064024574.76</v>
      </c>
    </row>
    <row r="166" spans="1:12" x14ac:dyDescent="0.25">
      <c r="A166" s="2">
        <v>3</v>
      </c>
      <c r="B166" s="1">
        <v>7</v>
      </c>
      <c r="C166" s="1">
        <v>1.4570000000000001</v>
      </c>
      <c r="D166" s="1">
        <v>0.82551600000000003</v>
      </c>
      <c r="E166" s="1">
        <v>1.5299999999999999E-2</v>
      </c>
      <c r="F166" s="1">
        <v>7993120.79131117</v>
      </c>
      <c r="G166" s="1">
        <v>11.645976992940399</v>
      </c>
      <c r="H166" s="1">
        <v>6.5984491031600303</v>
      </c>
      <c r="I166" s="1">
        <v>0.12229474810706099</v>
      </c>
      <c r="J166" s="1">
        <v>30279.540181644999</v>
      </c>
      <c r="K166" s="1">
        <v>498182907288.58197</v>
      </c>
      <c r="L166" s="1">
        <v>305736870267.65198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 Total</vt:lpstr>
      <vt:lpstr>Comparison Charts</vt:lpstr>
      <vt:lpstr>Baseline Metrics</vt:lpstr>
      <vt:lpstr>Scenario Metrics</vt:lpstr>
      <vt:lpstr>BaselineScenario</vt:lpstr>
      <vt:lpstr>Difference</vt:lpstr>
      <vt:lpstr>HeatResults</vt:lpstr>
      <vt:lpstr>RawBaseline</vt:lpstr>
      <vt:lpstr>RawScenario</vt:lpstr>
      <vt:lpstr>Baseline Charts</vt:lpstr>
      <vt:lpstr>Scenario Charts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2017-03-08T00:04:53Z</dcterms:modified>
</cp:coreProperties>
</file>