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ndcast_37\output_templates\"/>
    </mc:Choice>
  </mc:AlternateContent>
  <bookViews>
    <workbookView xWindow="480" yWindow="315" windowWidth="19980" windowHeight="7530"/>
  </bookViews>
  <sheets>
    <sheet name="Compare Total" sheetId="14" r:id="rId1"/>
    <sheet name="Comparison Charts" sheetId="12" r:id="rId2"/>
    <sheet name="Baseline Metrics" sheetId="1" r:id="rId3"/>
    <sheet name="Scenario Metrics" sheetId="9" r:id="rId4"/>
    <sheet name="BaselineScenario" sheetId="13" r:id="rId5"/>
    <sheet name="Difference" sheetId="10" r:id="rId6"/>
    <sheet name="HeatResults" sheetId="6" r:id="rId7"/>
    <sheet name="RawBaseline" sheetId="4" r:id="rId8"/>
    <sheet name="RawScenario" sheetId="5" r:id="rId9"/>
    <sheet name="Baseline Charts" sheetId="7" r:id="rId10"/>
    <sheet name="Scenario Charts" sheetId="11" r:id="rId11"/>
  </sheets>
  <definedNames>
    <definedName name="_xlchart.v1.0" hidden="1">Difference!$L$10</definedName>
    <definedName name="_xlchart.v1.1" hidden="1">Difference!$L$11</definedName>
    <definedName name="_xlchart.v1.10" hidden="1">Difference!$L$9</definedName>
    <definedName name="_xlchart.v1.11" hidden="1">Difference!$N$10</definedName>
    <definedName name="_xlchart.v1.12" hidden="1">Difference!$N$11</definedName>
    <definedName name="_xlchart.v1.13" hidden="1">Difference!$N$12</definedName>
    <definedName name="_xlchart.v1.14" hidden="1">Difference!$N$13</definedName>
    <definedName name="_xlchart.v1.15" hidden="1">Difference!$N$14</definedName>
    <definedName name="_xlchart.v1.16" hidden="1">Difference!$N$3</definedName>
    <definedName name="_xlchart.v1.17" hidden="1">Difference!$N$4</definedName>
    <definedName name="_xlchart.v1.18" hidden="1">Difference!$N$5</definedName>
    <definedName name="_xlchart.v1.19" hidden="1">Difference!$N$6</definedName>
    <definedName name="_xlchart.v1.2" hidden="1">Difference!$L$12</definedName>
    <definedName name="_xlchart.v1.20" hidden="1">Difference!$N$7</definedName>
    <definedName name="_xlchart.v1.21" hidden="1">Difference!$N$8</definedName>
    <definedName name="_xlchart.v1.22" hidden="1">Difference!$N$9</definedName>
    <definedName name="_xlchart.v1.23" hidden="1">Difference!$N$9</definedName>
    <definedName name="_xlchart.v1.24" hidden="1">Difference!$L$4:$L$14</definedName>
    <definedName name="_xlchart.v1.25" hidden="1">Difference!$N$3</definedName>
    <definedName name="_xlchart.v1.26" hidden="1">Difference!$N$4:$N$14</definedName>
    <definedName name="_xlchart.v1.27" hidden="1">Difference!$N$4:$N$14</definedName>
    <definedName name="_xlchart.v1.3" hidden="1">Difference!$L$13</definedName>
    <definedName name="_xlchart.v1.4" hidden="1">Difference!$L$14</definedName>
    <definedName name="_xlchart.v1.5" hidden="1">Difference!$L$4</definedName>
    <definedName name="_xlchart.v1.6" hidden="1">Difference!$L$5</definedName>
    <definedName name="_xlchart.v1.7" hidden="1">Difference!$L$6</definedName>
    <definedName name="_xlchart.v1.8" hidden="1">Difference!$L$7</definedName>
    <definedName name="_xlchart.v1.9" hidden="1">Difference!$L$8</definedName>
  </definedNames>
  <calcPr calcId="171027"/>
</workbook>
</file>

<file path=xl/calcChain.xml><?xml version="1.0" encoding="utf-8"?>
<calcChain xmlns="http://schemas.openxmlformats.org/spreadsheetml/2006/main">
  <c r="N12" i="10" l="1"/>
  <c r="O9" i="10"/>
  <c r="M8" i="9"/>
  <c r="M7" i="9"/>
  <c r="M6" i="9"/>
  <c r="F59" i="1"/>
  <c r="C57" i="1"/>
  <c r="F57" i="1" s="1"/>
  <c r="C56" i="9"/>
  <c r="F56" i="9" s="1"/>
  <c r="C57" i="9"/>
  <c r="F57" i="9" s="1"/>
  <c r="C55" i="9"/>
  <c r="F55" i="9" s="1"/>
  <c r="C54" i="9"/>
  <c r="F54" i="9" s="1"/>
  <c r="C53" i="9"/>
  <c r="C52" i="9"/>
  <c r="F52" i="9" s="1"/>
  <c r="C59" i="1"/>
  <c r="C58" i="1"/>
  <c r="F58" i="1" s="1"/>
  <c r="C56" i="1"/>
  <c r="F56" i="1" s="1"/>
  <c r="M8" i="1" s="1"/>
  <c r="C55" i="1"/>
  <c r="F55" i="1" s="1"/>
  <c r="M7" i="1" s="1"/>
  <c r="C54" i="1"/>
  <c r="C52" i="10" s="1"/>
  <c r="F52" i="10" s="1"/>
  <c r="F54" i="1" l="1"/>
  <c r="M6" i="1" s="1"/>
  <c r="C53" i="10"/>
  <c r="F53" i="10" s="1"/>
  <c r="F53" i="9"/>
  <c r="C54" i="10"/>
  <c r="F54" i="10" s="1"/>
  <c r="C56" i="10"/>
  <c r="F56" i="10" s="1"/>
  <c r="C57" i="10"/>
  <c r="F57" i="10" s="1"/>
  <c r="C55" i="10"/>
  <c r="F55" i="10" s="1"/>
  <c r="M7" i="10" s="1"/>
  <c r="N7" i="10" s="1"/>
  <c r="O12" i="10"/>
  <c r="F20" i="9"/>
  <c r="F19" i="9"/>
  <c r="F18" i="9"/>
  <c r="F17" i="9"/>
  <c r="F16" i="9"/>
  <c r="F15" i="9"/>
  <c r="E20" i="9"/>
  <c r="E19" i="9"/>
  <c r="E18" i="9"/>
  <c r="E17" i="9"/>
  <c r="E16" i="9"/>
  <c r="E15" i="9"/>
  <c r="D20" i="9"/>
  <c r="D19" i="9"/>
  <c r="D18" i="9"/>
  <c r="D17" i="9"/>
  <c r="D16" i="9"/>
  <c r="D15" i="9"/>
  <c r="F22" i="1"/>
  <c r="F21" i="1"/>
  <c r="F20" i="1"/>
  <c r="F19" i="1"/>
  <c r="F18" i="1"/>
  <c r="F17" i="1"/>
  <c r="E22" i="1"/>
  <c r="E21" i="1"/>
  <c r="E20" i="1"/>
  <c r="E19" i="1"/>
  <c r="E18" i="1"/>
  <c r="E17" i="1"/>
  <c r="D22" i="1"/>
  <c r="D21" i="1"/>
  <c r="D20" i="1"/>
  <c r="D19" i="1"/>
  <c r="D18" i="1"/>
  <c r="D17" i="1"/>
  <c r="C40" i="9"/>
  <c r="C21" i="13" s="1"/>
  <c r="H21" i="13" s="1"/>
  <c r="C39" i="9"/>
  <c r="C20" i="13" s="1"/>
  <c r="H20" i="13" s="1"/>
  <c r="C38" i="9"/>
  <c r="C19" i="13" s="1"/>
  <c r="H19" i="13" s="1"/>
  <c r="C48" i="9"/>
  <c r="C7" i="13" s="1"/>
  <c r="C47" i="9"/>
  <c r="C6" i="13" s="1"/>
  <c r="C46" i="9"/>
  <c r="C5" i="13" s="1"/>
  <c r="C45" i="9"/>
  <c r="C4" i="13" s="1"/>
  <c r="C44" i="9"/>
  <c r="C3" i="13" s="1"/>
  <c r="C20" i="9"/>
  <c r="C19" i="9"/>
  <c r="C18" i="9"/>
  <c r="C17" i="9"/>
  <c r="C16" i="9"/>
  <c r="C15" i="9"/>
  <c r="O18" i="9" s="1"/>
  <c r="C22" i="1"/>
  <c r="C21" i="1"/>
  <c r="C20" i="1"/>
  <c r="C19" i="1"/>
  <c r="C18" i="1"/>
  <c r="C17" i="1"/>
  <c r="M8" i="10" l="1"/>
  <c r="N8" i="10" s="1"/>
  <c r="M9" i="10"/>
  <c r="N9" i="10" s="1"/>
  <c r="T6" i="6"/>
  <c r="T5" i="6"/>
  <c r="S8" i="6"/>
  <c r="R8" i="6"/>
  <c r="S7" i="6"/>
  <c r="R7" i="6"/>
  <c r="T7" i="6" s="1"/>
  <c r="F33" i="10"/>
  <c r="E33" i="10"/>
  <c r="F31" i="10"/>
  <c r="E31" i="10"/>
  <c r="P29" i="10"/>
  <c r="P28" i="10"/>
  <c r="O28" i="10"/>
  <c r="E44" i="9"/>
  <c r="C11" i="13" s="1"/>
  <c r="H11" i="13" s="1"/>
  <c r="D27" i="9"/>
  <c r="C27" i="9"/>
  <c r="D26" i="9"/>
  <c r="C26" i="9"/>
  <c r="F25" i="9"/>
  <c r="D25" i="9"/>
  <c r="D24" i="9"/>
  <c r="C24" i="9"/>
  <c r="C8" i="9"/>
  <c r="C7" i="9"/>
  <c r="H4" i="13" l="1"/>
  <c r="N8" i="9"/>
  <c r="N7" i="9"/>
  <c r="N6" i="9"/>
  <c r="M18" i="9"/>
  <c r="H5" i="13"/>
  <c r="H7" i="13"/>
  <c r="H3" i="13"/>
  <c r="H6" i="13"/>
  <c r="N27" i="9"/>
  <c r="T8" i="6"/>
  <c r="D40" i="10"/>
  <c r="E48" i="9"/>
  <c r="C15" i="13" s="1"/>
  <c r="H15" i="13" s="1"/>
  <c r="E47" i="9"/>
  <c r="C14" i="13" s="1"/>
  <c r="H14" i="13" s="1"/>
  <c r="E46" i="9"/>
  <c r="C13" i="13" s="1"/>
  <c r="H13" i="13" s="1"/>
  <c r="E45" i="9"/>
  <c r="C12" i="13" s="1"/>
  <c r="H12" i="13" s="1"/>
  <c r="D40" i="9"/>
  <c r="E40" i="9" s="1"/>
  <c r="E39" i="9"/>
  <c r="E38" i="9"/>
  <c r="D32" i="9"/>
  <c r="P30" i="9"/>
  <c r="O30" i="9"/>
  <c r="M30" i="9"/>
  <c r="F27" i="9"/>
  <c r="M11" i="9" s="1"/>
  <c r="N11" i="9" s="1"/>
  <c r="N29" i="9"/>
  <c r="F26" i="9"/>
  <c r="M10" i="9" s="1"/>
  <c r="N10" i="9" s="1"/>
  <c r="N28" i="9"/>
  <c r="C25" i="9"/>
  <c r="P27" i="9"/>
  <c r="O27" i="9"/>
  <c r="M27" i="9"/>
  <c r="N23" i="9"/>
  <c r="M23" i="9"/>
  <c r="D34" i="9"/>
  <c r="C34" i="9"/>
  <c r="P23" i="9"/>
  <c r="J20" i="9"/>
  <c r="P22" i="9"/>
  <c r="J19" i="9"/>
  <c r="H19" i="9"/>
  <c r="C32" i="9"/>
  <c r="N22" i="9"/>
  <c r="O22" i="9"/>
  <c r="M21" i="9"/>
  <c r="J18" i="9"/>
  <c r="H18" i="9"/>
  <c r="P21" i="9"/>
  <c r="O21" i="9"/>
  <c r="N20" i="9"/>
  <c r="H17" i="9"/>
  <c r="G17" i="9"/>
  <c r="P20" i="9"/>
  <c r="M20" i="9"/>
  <c r="M19" i="9"/>
  <c r="J16" i="9"/>
  <c r="G16" i="9"/>
  <c r="H16" i="9"/>
  <c r="P19" i="9"/>
  <c r="O19" i="9"/>
  <c r="J15" i="9"/>
  <c r="H15" i="9"/>
  <c r="G15" i="9"/>
  <c r="P18" i="9"/>
  <c r="N21" i="9"/>
  <c r="G18" i="9"/>
  <c r="M9" i="9"/>
  <c r="N9" i="9" s="1"/>
  <c r="C50" i="1"/>
  <c r="C49" i="1"/>
  <c r="C48" i="1"/>
  <c r="B5" i="13" s="1"/>
  <c r="C47" i="1"/>
  <c r="C46" i="1"/>
  <c r="D42" i="1"/>
  <c r="C42" i="1"/>
  <c r="C41" i="1"/>
  <c r="C40" i="1"/>
  <c r="D29" i="1"/>
  <c r="D27" i="10" s="1"/>
  <c r="C29" i="1"/>
  <c r="F29" i="1" s="1"/>
  <c r="M11" i="1" s="1"/>
  <c r="D28" i="1"/>
  <c r="D26" i="10" s="1"/>
  <c r="C28" i="1"/>
  <c r="C26" i="10" s="1"/>
  <c r="D27" i="1"/>
  <c r="D25" i="10" s="1"/>
  <c r="F27" i="1"/>
  <c r="C27" i="1" s="1"/>
  <c r="D26" i="1"/>
  <c r="D24" i="10" s="1"/>
  <c r="C26" i="1"/>
  <c r="F26" i="1" s="1"/>
  <c r="M5" i="1" s="1"/>
  <c r="E41" i="1" l="1"/>
  <c r="B20" i="13"/>
  <c r="C40" i="10"/>
  <c r="E40" i="10" s="1"/>
  <c r="B21" i="13"/>
  <c r="E46" i="1"/>
  <c r="B11" i="13" s="1"/>
  <c r="B3" i="13"/>
  <c r="E47" i="1"/>
  <c r="B12" i="13" s="1"/>
  <c r="B4" i="13"/>
  <c r="D5" i="13"/>
  <c r="E49" i="1"/>
  <c r="B14" i="13" s="1"/>
  <c r="B6" i="13"/>
  <c r="E40" i="1"/>
  <c r="B19" i="13"/>
  <c r="E50" i="1"/>
  <c r="B15" i="13" s="1"/>
  <c r="B7" i="13"/>
  <c r="F25" i="10"/>
  <c r="M6" i="10" s="1"/>
  <c r="N6" i="10" s="1"/>
  <c r="C45" i="10"/>
  <c r="E45" i="10" s="1"/>
  <c r="F32" i="9"/>
  <c r="E48" i="1"/>
  <c r="B13" i="13" s="1"/>
  <c r="C46" i="10"/>
  <c r="E46" i="10" s="1"/>
  <c r="C44" i="10"/>
  <c r="E44" i="10" s="1"/>
  <c r="C24" i="10"/>
  <c r="F24" i="10" s="1"/>
  <c r="M5" i="10" s="1"/>
  <c r="N5" i="10" s="1"/>
  <c r="D31" i="9"/>
  <c r="C38" i="10"/>
  <c r="E38" i="10" s="1"/>
  <c r="C48" i="10"/>
  <c r="E48" i="10" s="1"/>
  <c r="D33" i="9"/>
  <c r="C39" i="10"/>
  <c r="E39" i="10" s="1"/>
  <c r="C27" i="10"/>
  <c r="F27" i="10" s="1"/>
  <c r="M11" i="10" s="1"/>
  <c r="N11" i="10" s="1"/>
  <c r="C31" i="9"/>
  <c r="M28" i="9"/>
  <c r="C25" i="10"/>
  <c r="C47" i="10"/>
  <c r="E47" i="10" s="1"/>
  <c r="M13" i="9"/>
  <c r="N13" i="9" s="1"/>
  <c r="F26" i="10"/>
  <c r="M10" i="10" s="1"/>
  <c r="N10" i="10" s="1"/>
  <c r="M14" i="9"/>
  <c r="N14" i="9" s="1"/>
  <c r="N18" i="9"/>
  <c r="M29" i="9"/>
  <c r="N19" i="9"/>
  <c r="M22" i="9"/>
  <c r="G20" i="9"/>
  <c r="O29" i="9"/>
  <c r="O20" i="9"/>
  <c r="N30" i="9"/>
  <c r="J17" i="9"/>
  <c r="M4" i="9" s="1"/>
  <c r="N4" i="9" s="1"/>
  <c r="H20" i="9"/>
  <c r="F24" i="9"/>
  <c r="M5" i="9" s="1"/>
  <c r="N5" i="9" s="1"/>
  <c r="G19" i="9"/>
  <c r="O23" i="9"/>
  <c r="M9" i="1"/>
  <c r="E42" i="1"/>
  <c r="F28" i="1"/>
  <c r="M10" i="1" s="1"/>
  <c r="F18" i="10"/>
  <c r="F17" i="10"/>
  <c r="F16" i="10"/>
  <c r="F15" i="10"/>
  <c r="E17" i="10"/>
  <c r="E16" i="10"/>
  <c r="E15" i="10"/>
  <c r="D20" i="10"/>
  <c r="D19" i="10"/>
  <c r="D18" i="10"/>
  <c r="D17" i="10"/>
  <c r="D16" i="10"/>
  <c r="D15" i="10"/>
  <c r="C15" i="10"/>
  <c r="J15" i="10" s="1"/>
  <c r="C20" i="10"/>
  <c r="J20" i="10" s="1"/>
  <c r="C19" i="10"/>
  <c r="J19" i="10" s="1"/>
  <c r="C18" i="10"/>
  <c r="J18" i="10" s="1"/>
  <c r="C17" i="10"/>
  <c r="J17" i="10" s="1"/>
  <c r="C16" i="10"/>
  <c r="J16" i="10" s="1"/>
  <c r="C10" i="1"/>
  <c r="C9" i="1"/>
  <c r="M13" i="1" l="1"/>
  <c r="G5" i="13"/>
  <c r="I5" i="13" s="1"/>
  <c r="N8" i="1"/>
  <c r="N7" i="1"/>
  <c r="N6" i="1"/>
  <c r="M14" i="1"/>
  <c r="N14" i="1" s="1"/>
  <c r="O14" i="10" s="1"/>
  <c r="G7" i="13"/>
  <c r="I7" i="13" s="1"/>
  <c r="D7" i="13"/>
  <c r="D4" i="13"/>
  <c r="G4" i="13"/>
  <c r="I4" i="13" s="1"/>
  <c r="G15" i="13"/>
  <c r="D15" i="13"/>
  <c r="I15" i="13" s="1"/>
  <c r="G12" i="13"/>
  <c r="D12" i="13"/>
  <c r="I12" i="13" s="1"/>
  <c r="G19" i="13"/>
  <c r="I19" i="13" s="1"/>
  <c r="D19" i="13"/>
  <c r="G3" i="13"/>
  <c r="I3" i="13" s="1"/>
  <c r="D3" i="13"/>
  <c r="G13" i="13"/>
  <c r="D13" i="13"/>
  <c r="I13" i="13" s="1"/>
  <c r="G11" i="13"/>
  <c r="D11" i="13"/>
  <c r="I11" i="13" s="1"/>
  <c r="D6" i="13"/>
  <c r="G6" i="13"/>
  <c r="I6" i="13" s="1"/>
  <c r="G21" i="13"/>
  <c r="I21" i="13" s="1"/>
  <c r="D21" i="13"/>
  <c r="D14" i="13"/>
  <c r="I14" i="13" s="1"/>
  <c r="G14" i="13"/>
  <c r="G20" i="13"/>
  <c r="I20" i="13" s="1"/>
  <c r="D20" i="13"/>
  <c r="M13" i="10"/>
  <c r="N13" i="10" s="1"/>
  <c r="M4" i="10"/>
  <c r="N4" i="10" s="1"/>
  <c r="M14" i="10"/>
  <c r="N14" i="10" s="1"/>
  <c r="N5" i="1"/>
  <c r="O5" i="10" s="1"/>
  <c r="C7" i="10"/>
  <c r="D34" i="1"/>
  <c r="D32" i="10" s="1"/>
  <c r="F19" i="10"/>
  <c r="N28" i="1"/>
  <c r="N28" i="10" s="1"/>
  <c r="C8" i="10"/>
  <c r="O29" i="1"/>
  <c r="O29" i="10" s="1"/>
  <c r="E18" i="10"/>
  <c r="D36" i="1"/>
  <c r="D34" i="10" s="1"/>
  <c r="F20" i="10"/>
  <c r="F34" i="9"/>
  <c r="C34" i="1"/>
  <c r="C32" i="10" s="1"/>
  <c r="E19" i="10"/>
  <c r="C36" i="1"/>
  <c r="C34" i="10" s="1"/>
  <c r="E20" i="10"/>
  <c r="E32" i="9"/>
  <c r="C6" i="9"/>
  <c r="C33" i="9"/>
  <c r="E34" i="9"/>
  <c r="C3" i="9"/>
  <c r="M28" i="1"/>
  <c r="M28" i="10" s="1"/>
  <c r="N11" i="1"/>
  <c r="N10" i="1"/>
  <c r="N13" i="1"/>
  <c r="O13" i="10" s="1"/>
  <c r="N9" i="1"/>
  <c r="O6" i="10" s="1"/>
  <c r="M29" i="1"/>
  <c r="M29" i="10" s="1"/>
  <c r="G18" i="1"/>
  <c r="G16" i="10" s="1"/>
  <c r="P30" i="1"/>
  <c r="P30" i="10" s="1"/>
  <c r="P27" i="1"/>
  <c r="P27" i="10" s="1"/>
  <c r="O27" i="1"/>
  <c r="O27" i="10" s="1"/>
  <c r="O30" i="1"/>
  <c r="O30" i="10" s="1"/>
  <c r="H17" i="1"/>
  <c r="H15" i="10" s="1"/>
  <c r="P23" i="1"/>
  <c r="O23" i="1"/>
  <c r="C35" i="1" s="1"/>
  <c r="M27" i="1"/>
  <c r="M27" i="10" s="1"/>
  <c r="H18" i="1"/>
  <c r="H16" i="10" s="1"/>
  <c r="N30" i="1"/>
  <c r="N30" i="10" s="1"/>
  <c r="N29" i="1"/>
  <c r="N29" i="10" s="1"/>
  <c r="H19" i="1"/>
  <c r="H17" i="10" s="1"/>
  <c r="N27" i="1"/>
  <c r="N27" i="10" s="1"/>
  <c r="N18" i="1"/>
  <c r="N18" i="10" s="1"/>
  <c r="H22" i="1"/>
  <c r="F36" i="1" s="1"/>
  <c r="H20" i="1"/>
  <c r="H18" i="10" s="1"/>
  <c r="N22" i="1"/>
  <c r="N22" i="10" s="1"/>
  <c r="N19" i="1"/>
  <c r="N19" i="10" s="1"/>
  <c r="H21" i="1"/>
  <c r="G19" i="1"/>
  <c r="G17" i="10" s="1"/>
  <c r="O20" i="1"/>
  <c r="O20" i="10" s="1"/>
  <c r="N21" i="1"/>
  <c r="N21" i="10" s="1"/>
  <c r="G22" i="1"/>
  <c r="E36" i="1" s="1"/>
  <c r="O21" i="1"/>
  <c r="O21" i="10" s="1"/>
  <c r="P22" i="1"/>
  <c r="G17" i="1"/>
  <c r="G15" i="10" s="1"/>
  <c r="P20" i="1"/>
  <c r="P20" i="10" s="1"/>
  <c r="G20" i="1"/>
  <c r="G18" i="10" s="1"/>
  <c r="O19" i="1"/>
  <c r="O19" i="10" s="1"/>
  <c r="N20" i="1"/>
  <c r="N20" i="10" s="1"/>
  <c r="O22" i="1"/>
  <c r="G21" i="1"/>
  <c r="E34" i="1" s="1"/>
  <c r="P21" i="1"/>
  <c r="P21" i="10" s="1"/>
  <c r="O18" i="1"/>
  <c r="O18" i="10" s="1"/>
  <c r="P18" i="1"/>
  <c r="P18" i="10" s="1"/>
  <c r="N23" i="1"/>
  <c r="N23" i="10" s="1"/>
  <c r="P19" i="1"/>
  <c r="P19" i="10" s="1"/>
  <c r="M18" i="1"/>
  <c r="M18" i="10" s="1"/>
  <c r="M19" i="1"/>
  <c r="M19" i="10" s="1"/>
  <c r="M20" i="1"/>
  <c r="M20" i="10" s="1"/>
  <c r="M21" i="1"/>
  <c r="M21" i="10" s="1"/>
  <c r="M22" i="1"/>
  <c r="M22" i="10" s="1"/>
  <c r="M23" i="1"/>
  <c r="M23" i="10" s="1"/>
  <c r="O10" i="10" l="1"/>
  <c r="O7" i="10"/>
  <c r="O11" i="10"/>
  <c r="O8" i="10"/>
  <c r="H20" i="10"/>
  <c r="D35" i="1"/>
  <c r="D33" i="10" s="1"/>
  <c r="P23" i="10"/>
  <c r="G20" i="10"/>
  <c r="F34" i="10"/>
  <c r="E34" i="10"/>
  <c r="O23" i="10"/>
  <c r="G19" i="10"/>
  <c r="C33" i="1"/>
  <c r="C31" i="10" s="1"/>
  <c r="O22" i="10"/>
  <c r="C33" i="10"/>
  <c r="E32" i="10"/>
  <c r="F34" i="1"/>
  <c r="F32" i="10" s="1"/>
  <c r="H19" i="10"/>
  <c r="D33" i="1"/>
  <c r="D31" i="10" s="1"/>
  <c r="P22" i="10"/>
  <c r="C4" i="9"/>
  <c r="M30" i="1"/>
  <c r="M30" i="10" s="1"/>
  <c r="C8" i="1"/>
  <c r="C6" i="10" s="1"/>
  <c r="J21" i="1"/>
  <c r="J20" i="1"/>
  <c r="J22" i="1"/>
  <c r="J18" i="1"/>
  <c r="J19" i="1"/>
  <c r="J17" i="1"/>
  <c r="C3" i="1" l="1"/>
  <c r="M4" i="1"/>
  <c r="N4" i="1" s="1"/>
  <c r="O4" i="10" s="1"/>
  <c r="C4" i="1" l="1"/>
  <c r="C4" i="10" s="1"/>
  <c r="C10" i="10" s="1"/>
  <c r="C3" i="10"/>
</calcChain>
</file>

<file path=xl/sharedStrings.xml><?xml version="1.0" encoding="utf-8"?>
<sst xmlns="http://schemas.openxmlformats.org/spreadsheetml/2006/main" count="595" uniqueCount="182">
  <si>
    <t xml:space="preserve">Toll and Auto Operating Cost </t>
  </si>
  <si>
    <t>Total</t>
  </si>
  <si>
    <t>Low Income Total</t>
  </si>
  <si>
    <t>Injury Collisions</t>
  </si>
  <si>
    <t>Property Damage Collisions</t>
  </si>
  <si>
    <t>Fatality Collisions</t>
  </si>
  <si>
    <t>CO2 Tons</t>
  </si>
  <si>
    <t>CO Tons</t>
  </si>
  <si>
    <t>NO Tons</t>
  </si>
  <si>
    <t>PM Tons</t>
  </si>
  <si>
    <t>VOC Tons</t>
  </si>
  <si>
    <t>Total Number of Walkers</t>
  </si>
  <si>
    <t>Average Biking Time per Biker</t>
  </si>
  <si>
    <t>Total Number of Bikers</t>
  </si>
  <si>
    <t>Parking Costs</t>
  </si>
  <si>
    <t>Regional Population</t>
  </si>
  <si>
    <t>Cost Equivalent</t>
  </si>
  <si>
    <t>Assumed Valuation</t>
  </si>
  <si>
    <t>Active Transport Measures</t>
  </si>
  <si>
    <t>Truck Costs</t>
  </si>
  <si>
    <t>Safety Measures</t>
  </si>
  <si>
    <t>Baseline Metrics</t>
  </si>
  <si>
    <t>Autos Owned</t>
  </si>
  <si>
    <t>Value</t>
  </si>
  <si>
    <t>Auto Ownership Costs</t>
  </si>
  <si>
    <t>Measure</t>
  </si>
  <si>
    <t>Average Time Biked per Biker</t>
  </si>
  <si>
    <t>Car</t>
  </si>
  <si>
    <t>Heavy Truck</t>
  </si>
  <si>
    <t>Light Truck</t>
  </si>
  <si>
    <t>Medium Truck</t>
  </si>
  <si>
    <t>Carbon Dioxide</t>
  </si>
  <si>
    <t>Carbon Monoxide</t>
  </si>
  <si>
    <t>Nitrogen Oxide</t>
  </si>
  <si>
    <t>Particulate Matter</t>
  </si>
  <si>
    <t>Volatile Organic Compound</t>
  </si>
  <si>
    <t>Car VMT</t>
  </si>
  <si>
    <t>Truck VMT</t>
  </si>
  <si>
    <t>Functional Class</t>
  </si>
  <si>
    <t>Property Damage Rate</t>
  </si>
  <si>
    <t>Injury Rate</t>
  </si>
  <si>
    <t>Fatality Rate</t>
  </si>
  <si>
    <t>VMT</t>
  </si>
  <si>
    <t>Property Damage Total</t>
  </si>
  <si>
    <t>Injury Total</t>
  </si>
  <si>
    <t>Fatality Total</t>
  </si>
  <si>
    <t>Property Damage Cost</t>
  </si>
  <si>
    <t>Injury Cost</t>
  </si>
  <si>
    <t>Fatality Cost</t>
  </si>
  <si>
    <t>per Low Income Person</t>
  </si>
  <si>
    <t>Average Walking Time per Walker (minutes)</t>
  </si>
  <si>
    <t>Travel Time</t>
  </si>
  <si>
    <t xml:space="preserve"> Household Low-Income Time</t>
  </si>
  <si>
    <t>Total Household Costs</t>
  </si>
  <si>
    <t>Total Household Time Impedances</t>
  </si>
  <si>
    <t>Total Low Income Household Costs</t>
  </si>
  <si>
    <t>mode</t>
  </si>
  <si>
    <t>Bike</t>
  </si>
  <si>
    <t>HOV2</t>
  </si>
  <si>
    <t>HOV3+</t>
  </si>
  <si>
    <t>SOV</t>
  </si>
  <si>
    <t>School Bus</t>
  </si>
  <si>
    <t>Transit</t>
  </si>
  <si>
    <t>Walk</t>
  </si>
  <si>
    <t>Auto Ownership Costs Low Income</t>
  </si>
  <si>
    <t>Parking Costs Low Income</t>
  </si>
  <si>
    <t>minutes per hour</t>
  </si>
  <si>
    <t>Low Income Population</t>
  </si>
  <si>
    <t>Transit Costs</t>
  </si>
  <si>
    <t>per Mode User</t>
  </si>
  <si>
    <t>per Low Income Mode User</t>
  </si>
  <si>
    <t>Air Quality Measures</t>
  </si>
  <si>
    <t>% of Population</t>
  </si>
  <si>
    <t>% of Low Income Population</t>
  </si>
  <si>
    <t>Number of Mode Users</t>
  </si>
  <si>
    <t>Low Income People</t>
  </si>
  <si>
    <t>Total People</t>
  </si>
  <si>
    <t>Users</t>
  </si>
  <si>
    <t>Average Time Biked per Low Income Biker</t>
  </si>
  <si>
    <t>Total Number of Low INcome Bikers</t>
  </si>
  <si>
    <t>Number of Low Income Mode Users</t>
  </si>
  <si>
    <t>BCAT</t>
  </si>
  <si>
    <t>Benefit-Cost Analysis Tool</t>
  </si>
  <si>
    <t>Already $</t>
  </si>
  <si>
    <t>Transit Fares</t>
  </si>
  <si>
    <t>Total Time Traveling per Person</t>
  </si>
  <si>
    <r>
      <t>Household</t>
    </r>
    <r>
      <rPr>
        <b/>
        <sz val="10"/>
        <color rgb="FFFF0000"/>
        <rFont val="Cambria"/>
        <family val="1"/>
      </rPr>
      <t xml:space="preserve"> Time</t>
    </r>
    <r>
      <rPr>
        <b/>
        <sz val="10"/>
        <color theme="1"/>
        <rFont val="Cambria"/>
        <family val="1"/>
      </rPr>
      <t xml:space="preserve"> Measures</t>
    </r>
  </si>
  <si>
    <r>
      <t xml:space="preserve">Household </t>
    </r>
    <r>
      <rPr>
        <b/>
        <sz val="10"/>
        <color rgb="FFFF0000"/>
        <rFont val="Cambria"/>
        <family val="1"/>
      </rPr>
      <t xml:space="preserve">Time </t>
    </r>
    <r>
      <rPr>
        <b/>
        <sz val="10"/>
        <color theme="1"/>
        <rFont val="Cambria"/>
        <family val="1"/>
      </rPr>
      <t>Measures</t>
    </r>
  </si>
  <si>
    <r>
      <t xml:space="preserve">Household </t>
    </r>
    <r>
      <rPr>
        <b/>
        <sz val="10"/>
        <color rgb="FFFF0000"/>
        <rFont val="Cambria"/>
        <family val="1"/>
      </rPr>
      <t xml:space="preserve">Cost </t>
    </r>
    <r>
      <rPr>
        <b/>
        <sz val="10"/>
        <color theme="1"/>
        <rFont val="Cambria"/>
        <family val="1"/>
      </rPr>
      <t>Measures</t>
    </r>
  </si>
  <si>
    <t xml:space="preserve">per Person </t>
  </si>
  <si>
    <t>Baseline Sum of Cost per Person</t>
  </si>
  <si>
    <t>Percent of Population Using Mode</t>
  </si>
  <si>
    <t>Percent of Low Income Population Using Mode</t>
  </si>
  <si>
    <t>Costs by Type</t>
  </si>
  <si>
    <t>Parking</t>
  </si>
  <si>
    <t>Health</t>
  </si>
  <si>
    <t>Auto Operating and Tolls</t>
  </si>
  <si>
    <t>Safety</t>
  </si>
  <si>
    <t>Air Quality</t>
  </si>
  <si>
    <t>Total Value</t>
  </si>
  <si>
    <t>Value per Person</t>
  </si>
  <si>
    <t>Auto Ownership</t>
  </si>
  <si>
    <t>Baseline Daily Sum of Costs</t>
  </si>
  <si>
    <t>minutes</t>
  </si>
  <si>
    <t>Table 1. Overall Values</t>
  </si>
  <si>
    <t xml:space="preserve"> Table 3. Total Time Spent by Mode</t>
  </si>
  <si>
    <t xml:space="preserve"> Table 2. Total Costs by Type</t>
  </si>
  <si>
    <t xml:space="preserve"> Table 4. Time Spent by Mode per Person</t>
  </si>
  <si>
    <t xml:space="preserve"> Table 5. Total Out of Pocket Costs</t>
  </si>
  <si>
    <t xml:space="preserve"> Table 6. Out of Pocket Costs per Person</t>
  </si>
  <si>
    <t xml:space="preserve"> Table 7. Active Transport Measures</t>
  </si>
  <si>
    <t xml:space="preserve"> Table 8. Safety Measures</t>
  </si>
  <si>
    <t>Table  10. Commercial Costs</t>
  </si>
  <si>
    <t xml:space="preserve"> Table 9. Air Quality Measures</t>
  </si>
  <si>
    <t>Total Hours</t>
  </si>
  <si>
    <t>Low Income Total Hours</t>
  </si>
  <si>
    <t>minutes per Person</t>
  </si>
  <si>
    <t>minutes per Low Income Person</t>
  </si>
  <si>
    <t>minutes per Mode User</t>
  </si>
  <si>
    <t>minutes per Low Income Mode User</t>
  </si>
  <si>
    <t>Scenario Metrics</t>
  </si>
  <si>
    <t>Scenario Daily Sum of Costs</t>
  </si>
  <si>
    <t>Scenario Sum of Cost per Person</t>
  </si>
  <si>
    <t>Description</t>
  </si>
  <si>
    <t>Only Used As a Difference</t>
  </si>
  <si>
    <r>
      <t xml:space="preserve">Difference Charts: Scenario - Baseline                        </t>
    </r>
    <r>
      <rPr>
        <b/>
        <sz val="12"/>
        <color rgb="FFFF0000"/>
        <rFont val="Cambria"/>
        <family val="1"/>
      </rPr>
      <t>(Positive numbers mean the scenario has more than the baseline.)</t>
    </r>
  </si>
  <si>
    <r>
      <t xml:space="preserve">Difference in Values: Scenario - Baseline                        </t>
    </r>
    <r>
      <rPr>
        <b/>
        <sz val="12"/>
        <color rgb="FFFF0000"/>
        <rFont val="Cambria"/>
        <family val="1"/>
      </rPr>
      <t>(Positive numbers mean the scenario has more than the baseline.)</t>
    </r>
  </si>
  <si>
    <t>Baseline Charts</t>
  </si>
  <si>
    <t>Household Cost Measures</t>
  </si>
  <si>
    <r>
      <t xml:space="preserve">Household </t>
    </r>
    <r>
      <rPr>
        <b/>
        <sz val="10"/>
        <color rgb="FFFF0000"/>
        <rFont val="Cambria"/>
        <family val="1"/>
      </rPr>
      <t>Cost</t>
    </r>
    <r>
      <rPr>
        <b/>
        <sz val="10"/>
        <color theme="1"/>
        <rFont val="Cambria"/>
        <family val="1"/>
      </rPr>
      <t xml:space="preserve"> Measures</t>
    </r>
  </si>
  <si>
    <t>Health Economic Assessment Tool</t>
  </si>
  <si>
    <t>http://www.heatwalkingcycling.org/</t>
  </si>
  <si>
    <t>Walking</t>
  </si>
  <si>
    <t>Cycling</t>
  </si>
  <si>
    <t>Annual Deaths Prevented</t>
  </si>
  <si>
    <t>Value of Deaths prevented</t>
  </si>
  <si>
    <t>Average Daily Deaths Prevented</t>
  </si>
  <si>
    <t>Daily Factor</t>
  </si>
  <si>
    <t>Health Benefits</t>
  </si>
  <si>
    <t>Sum</t>
  </si>
  <si>
    <t>Instructions: Run the HEAT on the baseline and the scenario for walking and biking.  Then enter the  values resulting from heat in the cells in the table above.</t>
  </si>
  <si>
    <t>N\A</t>
  </si>
  <si>
    <t>Average Time Walked per Low Income Walker or Person Walking to Transit</t>
  </si>
  <si>
    <t>Average Time Walked per Walker or Person Walking to Transit</t>
  </si>
  <si>
    <t>Total Number of Low Income Walkers or People Walking to Transit</t>
  </si>
  <si>
    <t>Total Number of Walkers or People Walking to Transit</t>
  </si>
  <si>
    <t>Baseline</t>
  </si>
  <si>
    <t>Scenario</t>
  </si>
  <si>
    <t>Difference</t>
  </si>
  <si>
    <t>CO2 ($)</t>
  </si>
  <si>
    <t>CO ($)</t>
  </si>
  <si>
    <t>NO ($)</t>
  </si>
  <si>
    <t>PM ($)</t>
  </si>
  <si>
    <t>VOC ($)</t>
  </si>
  <si>
    <t>Accident Type</t>
  </si>
  <si>
    <t>per capita</t>
  </si>
  <si>
    <t>Annual per Capota</t>
  </si>
  <si>
    <t>Accident Type (per capita)</t>
  </si>
  <si>
    <t>Medium Truck Travel Time</t>
  </si>
  <si>
    <t>Medium Truck Tolls</t>
  </si>
  <si>
    <t>Heavy Truck Travel Time</t>
  </si>
  <si>
    <t>Havey Truck Tolls</t>
  </si>
  <si>
    <t>Baseline Totals</t>
  </si>
  <si>
    <t>Scenario Totals</t>
  </si>
  <si>
    <t>Household Travel Time</t>
  </si>
  <si>
    <t>Household Auto Operating and Tolls</t>
  </si>
  <si>
    <t>Truck Auto Operating and Tolls</t>
  </si>
  <si>
    <t>Truck Travel Time</t>
  </si>
  <si>
    <t>Truck Heavy Tolls</t>
  </si>
  <si>
    <t>Truck Heavy VHT</t>
  </si>
  <si>
    <t>Truck Heavy VMT</t>
  </si>
  <si>
    <t>Truck Medium Tolls</t>
  </si>
  <si>
    <t>Truck Medium VHT</t>
  </si>
  <si>
    <t>Truck Medium VMT</t>
  </si>
  <si>
    <t>Difference in Cost</t>
  </si>
  <si>
    <t>Benefit of Scenario</t>
  </si>
  <si>
    <t>Medium Truck Miles</t>
  </si>
  <si>
    <t>Heavy Truck Miles</t>
  </si>
  <si>
    <t>Truck Tolls</t>
  </si>
  <si>
    <t>Truck Operating Costs</t>
  </si>
  <si>
    <t>2040 on 2014 network</t>
  </si>
  <si>
    <t>2040 Plan, existing tolls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</si>
</sst>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"/>
    <numFmt numFmtId="167" formatCode="_(&quot;$&quot;* #,##0.0_);_(&quot;$&quot;* \(#,##0.0\);_(&quot;$&quot;* &quot;-&quot;??_);_(@_)"/>
    <numFmt numFmtId="168" formatCode="&quot;$&quot;#,##0"/>
    <numFmt numFmtId="169" formatCode="_([$$-409]* #,##0.00_);_([$$-409]* \(#,##0.00\);_([$$-409]* &quot;-&quot;??_);_(@_)"/>
    <numFmt numFmtId="170" formatCode="_(* #,##0.0000_);_(* \(#,##0.0000\);_(* &quot;-&quot;??_);_(@_)"/>
    <numFmt numFmtId="171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mbria"/>
      <family val="1"/>
    </font>
    <font>
      <b/>
      <sz val="10"/>
      <color theme="1"/>
      <name val="Cambria"/>
      <family val="1"/>
    </font>
    <font>
      <sz val="10"/>
      <color theme="1"/>
      <name val="Calibri"/>
      <family val="2"/>
      <scheme val="minor"/>
    </font>
    <font>
      <b/>
      <sz val="10"/>
      <color rgb="FFFF0000"/>
      <name val="Cambria"/>
      <family val="1"/>
    </font>
    <font>
      <b/>
      <sz val="10"/>
      <color theme="1"/>
      <name val="Calibri"/>
      <family val="2"/>
      <scheme val="minor"/>
    </font>
    <font>
      <sz val="11"/>
      <color rgb="FFFF0000"/>
      <name val="Cambria"/>
      <family val="1"/>
    </font>
    <font>
      <sz val="10"/>
      <color rgb="FFFF0000"/>
      <name val="Cambria"/>
      <family val="1"/>
    </font>
    <font>
      <sz val="14"/>
      <color theme="1"/>
      <name val="Cambria"/>
      <family val="1"/>
    </font>
    <font>
      <sz val="14"/>
      <color rgb="FFFF0000"/>
      <name val="Cambria"/>
      <family val="1"/>
    </font>
    <font>
      <b/>
      <sz val="20"/>
      <color rgb="FFFF0000"/>
      <name val="Cambria"/>
      <family val="1"/>
    </font>
    <font>
      <b/>
      <i/>
      <sz val="10"/>
      <color theme="1"/>
      <name val="Cambria"/>
      <family val="1"/>
    </font>
    <font>
      <b/>
      <sz val="12"/>
      <color rgb="FFFF0000"/>
      <name val="Cambria"/>
      <family val="1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5">
    <xf numFmtId="0" fontId="0" fillId="0" borderId="0" xfId="0"/>
    <xf numFmtId="0" fontId="0" fillId="0" borderId="0" xfId="0"/>
    <xf numFmtId="0" fontId="4" fillId="0" borderId="8" xfId="0" applyFont="1" applyBorder="1" applyAlignment="1">
      <alignment horizontal="center" vertical="top"/>
    </xf>
    <xf numFmtId="0" fontId="6" fillId="2" borderId="0" xfId="0" applyFont="1" applyFill="1" applyBorder="1"/>
    <xf numFmtId="0" fontId="14" fillId="2" borderId="4" xfId="0" applyFont="1" applyFill="1" applyBorder="1" applyAlignment="1"/>
    <xf numFmtId="0" fontId="13" fillId="2" borderId="5" xfId="0" applyFont="1" applyFill="1" applyBorder="1" applyAlignment="1">
      <alignment wrapText="1"/>
    </xf>
    <xf numFmtId="0" fontId="12" fillId="2" borderId="5" xfId="0" applyFont="1" applyFill="1" applyBorder="1" applyAlignment="1">
      <alignment wrapText="1"/>
    </xf>
    <xf numFmtId="0" fontId="12" fillId="2" borderId="5" xfId="0" applyFont="1" applyFill="1" applyBorder="1"/>
    <xf numFmtId="0" fontId="0" fillId="2" borderId="0" xfId="0" applyFill="1" applyAlignment="1">
      <alignment wrapText="1"/>
    </xf>
    <xf numFmtId="0" fontId="4" fillId="2" borderId="0" xfId="0" applyFont="1" applyFill="1" applyAlignment="1">
      <alignment wrapText="1"/>
    </xf>
    <xf numFmtId="0" fontId="1" fillId="2" borderId="0" xfId="0" applyFont="1" applyFill="1"/>
    <xf numFmtId="0" fontId="6" fillId="2" borderId="17" xfId="0" applyFont="1" applyFill="1" applyBorder="1" applyAlignment="1">
      <alignment wrapText="1"/>
    </xf>
    <xf numFmtId="168" fontId="6" fillId="2" borderId="18" xfId="2" applyNumberFormat="1" applyFont="1" applyFill="1" applyBorder="1" applyAlignment="1">
      <alignment wrapText="1"/>
    </xf>
    <xf numFmtId="165" fontId="6" fillId="2" borderId="19" xfId="0" applyNumberFormat="1" applyFont="1" applyFill="1" applyBorder="1" applyAlignment="1">
      <alignment wrapText="1"/>
    </xf>
    <xf numFmtId="0" fontId="6" fillId="2" borderId="0" xfId="0" applyFont="1" applyFill="1" applyBorder="1" applyAlignment="1">
      <alignment wrapText="1"/>
    </xf>
    <xf numFmtId="0" fontId="0" fillId="2" borderId="0" xfId="0" applyFill="1"/>
    <xf numFmtId="0" fontId="10" fillId="2" borderId="0" xfId="0" applyFont="1" applyFill="1"/>
    <xf numFmtId="0" fontId="6" fillId="2" borderId="8" xfId="0" applyFont="1" applyFill="1" applyBorder="1"/>
    <xf numFmtId="0" fontId="9" fillId="2" borderId="9" xfId="0" applyFont="1" applyFill="1" applyBorder="1"/>
    <xf numFmtId="0" fontId="6" fillId="2" borderId="10" xfId="0" applyFont="1" applyFill="1" applyBorder="1"/>
    <xf numFmtId="0" fontId="6" fillId="2" borderId="20" xfId="0" applyFont="1" applyFill="1" applyBorder="1" applyAlignment="1">
      <alignment wrapText="1"/>
    </xf>
    <xf numFmtId="168" fontId="6" fillId="2" borderId="0" xfId="2" applyNumberFormat="1" applyFont="1" applyFill="1" applyBorder="1" applyAlignment="1">
      <alignment wrapText="1"/>
    </xf>
    <xf numFmtId="165" fontId="6" fillId="2" borderId="21" xfId="0" applyNumberFormat="1" applyFont="1" applyFill="1" applyBorder="1" applyAlignment="1">
      <alignment wrapText="1"/>
    </xf>
    <xf numFmtId="0" fontId="5" fillId="2" borderId="11" xfId="0" applyFont="1" applyFill="1" applyBorder="1"/>
    <xf numFmtId="165" fontId="7" fillId="2" borderId="0" xfId="0" applyNumberFormat="1" applyFont="1" applyFill="1" applyBorder="1"/>
    <xf numFmtId="44" fontId="5" fillId="2" borderId="1" xfId="0" applyNumberFormat="1" applyFont="1" applyFill="1" applyBorder="1"/>
    <xf numFmtId="0" fontId="5" fillId="2" borderId="0" xfId="0" applyFont="1" applyFill="1" applyBorder="1"/>
    <xf numFmtId="0" fontId="5" fillId="2" borderId="21" xfId="0" applyFont="1" applyFill="1" applyBorder="1"/>
    <xf numFmtId="0" fontId="5" fillId="2" borderId="0" xfId="0" applyFont="1" applyFill="1"/>
    <xf numFmtId="0" fontId="8" fillId="2" borderId="0" xfId="0" applyFont="1" applyFill="1" applyBorder="1" applyAlignment="1">
      <alignment wrapText="1"/>
    </xf>
    <xf numFmtId="164" fontId="5" fillId="2" borderId="0" xfId="0" applyNumberFormat="1" applyFont="1" applyFill="1" applyBorder="1" applyAlignment="1">
      <alignment wrapText="1"/>
    </xf>
    <xf numFmtId="0" fontId="7" fillId="2" borderId="21" xfId="0" applyFont="1" applyFill="1" applyBorder="1"/>
    <xf numFmtId="164" fontId="7" fillId="2" borderId="0" xfId="1" applyNumberFormat="1" applyFont="1" applyFill="1" applyBorder="1"/>
    <xf numFmtId="0" fontId="1" fillId="2" borderId="0" xfId="0" applyFont="1" applyFill="1" applyBorder="1"/>
    <xf numFmtId="0" fontId="6" fillId="2" borderId="22" xfId="0" applyFont="1" applyFill="1" applyBorder="1" applyAlignment="1">
      <alignment wrapText="1"/>
    </xf>
    <xf numFmtId="164" fontId="7" fillId="2" borderId="23" xfId="1" applyNumberFormat="1" applyFont="1" applyFill="1" applyBorder="1"/>
    <xf numFmtId="0" fontId="7" fillId="2" borderId="24" xfId="0" applyFont="1" applyFill="1" applyBorder="1"/>
    <xf numFmtId="0" fontId="7" fillId="2" borderId="0" xfId="0" applyFont="1" applyFill="1" applyBorder="1"/>
    <xf numFmtId="0" fontId="5" fillId="2" borderId="12" xfId="0" applyFont="1" applyFill="1" applyBorder="1"/>
    <xf numFmtId="165" fontId="7" fillId="2" borderId="6" xfId="0" applyNumberFormat="1" applyFont="1" applyFill="1" applyBorder="1"/>
    <xf numFmtId="44" fontId="5" fillId="2" borderId="7" xfId="0" applyNumberFormat="1" applyFont="1" applyFill="1" applyBorder="1"/>
    <xf numFmtId="44" fontId="5" fillId="2" borderId="0" xfId="0" applyNumberFormat="1" applyFont="1" applyFill="1" applyBorder="1"/>
    <xf numFmtId="0" fontId="6" fillId="2" borderId="8" xfId="0" applyFont="1" applyFill="1" applyBorder="1" applyAlignment="1">
      <alignment wrapText="1"/>
    </xf>
    <xf numFmtId="0" fontId="5" fillId="2" borderId="25" xfId="0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5" fillId="2" borderId="9" xfId="0" applyFont="1" applyFill="1" applyBorder="1" applyAlignment="1">
      <alignment wrapText="1"/>
    </xf>
    <xf numFmtId="0" fontId="5" fillId="2" borderId="10" xfId="0" applyFont="1" applyFill="1" applyBorder="1" applyAlignment="1">
      <alignment wrapText="1"/>
    </xf>
    <xf numFmtId="0" fontId="8" fillId="2" borderId="11" xfId="0" applyFont="1" applyFill="1" applyBorder="1" applyAlignment="1">
      <alignment wrapText="1"/>
    </xf>
    <xf numFmtId="0" fontId="5" fillId="2" borderId="14" xfId="0" applyFont="1" applyFill="1" applyBorder="1" applyAlignment="1">
      <alignment wrapText="1"/>
    </xf>
    <xf numFmtId="164" fontId="5" fillId="2" borderId="25" xfId="1" applyNumberFormat="1" applyFont="1" applyFill="1" applyBorder="1" applyAlignment="1">
      <alignment wrapText="1"/>
    </xf>
    <xf numFmtId="164" fontId="5" fillId="2" borderId="2" xfId="1" applyNumberFormat="1" applyFont="1" applyFill="1" applyBorder="1" applyAlignment="1">
      <alignment wrapText="1"/>
    </xf>
    <xf numFmtId="9" fontId="5" fillId="2" borderId="2" xfId="3" applyFont="1" applyFill="1" applyBorder="1" applyAlignment="1">
      <alignment wrapText="1"/>
    </xf>
    <xf numFmtId="6" fontId="5" fillId="2" borderId="2" xfId="0" applyNumberFormat="1" applyFont="1" applyFill="1" applyBorder="1" applyAlignment="1">
      <alignment wrapText="1"/>
    </xf>
    <xf numFmtId="165" fontId="5" fillId="2" borderId="3" xfId="2" applyNumberFormat="1" applyFont="1" applyFill="1" applyBorder="1" applyAlignment="1">
      <alignment wrapText="1"/>
    </xf>
    <xf numFmtId="0" fontId="11" fillId="2" borderId="0" xfId="0" applyFont="1" applyFill="1"/>
    <xf numFmtId="0" fontId="5" fillId="2" borderId="11" xfId="0" applyFont="1" applyFill="1" applyBorder="1" applyAlignment="1">
      <alignment wrapText="1"/>
    </xf>
    <xf numFmtId="164" fontId="5" fillId="2" borderId="25" xfId="0" applyNumberFormat="1" applyFont="1" applyFill="1" applyBorder="1" applyAlignment="1">
      <alignment wrapText="1"/>
    </xf>
    <xf numFmtId="164" fontId="5" fillId="2" borderId="2" xfId="0" applyNumberFormat="1" applyFont="1" applyFill="1" applyBorder="1" applyAlignment="1">
      <alignment wrapText="1"/>
    </xf>
    <xf numFmtId="1" fontId="5" fillId="2" borderId="2" xfId="0" applyNumberFormat="1" applyFont="1" applyFill="1" applyBorder="1" applyAlignment="1">
      <alignment wrapText="1"/>
    </xf>
    <xf numFmtId="1" fontId="5" fillId="2" borderId="3" xfId="0" applyNumberFormat="1" applyFont="1" applyFill="1" applyBorder="1" applyAlignment="1">
      <alignment wrapText="1"/>
    </xf>
    <xf numFmtId="164" fontId="5" fillId="2" borderId="14" xfId="1" applyNumberFormat="1" applyFont="1" applyFill="1" applyBorder="1" applyAlignment="1">
      <alignment wrapText="1"/>
    </xf>
    <xf numFmtId="164" fontId="5" fillId="2" borderId="0" xfId="1" applyNumberFormat="1" applyFont="1" applyFill="1" applyBorder="1" applyAlignment="1">
      <alignment wrapText="1"/>
    </xf>
    <xf numFmtId="9" fontId="5" fillId="2" borderId="0" xfId="3" applyFont="1" applyFill="1" applyBorder="1" applyAlignment="1">
      <alignment wrapText="1"/>
    </xf>
    <xf numFmtId="6" fontId="5" fillId="2" borderId="0" xfId="0" applyNumberFormat="1" applyFont="1" applyFill="1" applyBorder="1" applyAlignment="1">
      <alignment wrapText="1"/>
    </xf>
    <xf numFmtId="165" fontId="5" fillId="2" borderId="1" xfId="2" applyNumberFormat="1" applyFont="1" applyFill="1" applyBorder="1" applyAlignment="1">
      <alignment wrapText="1"/>
    </xf>
    <xf numFmtId="164" fontId="5" fillId="2" borderId="14" xfId="0" applyNumberFormat="1" applyFont="1" applyFill="1" applyBorder="1" applyAlignment="1">
      <alignment wrapText="1"/>
    </xf>
    <xf numFmtId="1" fontId="5" fillId="2" borderId="0" xfId="0" applyNumberFormat="1" applyFont="1" applyFill="1" applyBorder="1" applyAlignment="1">
      <alignment wrapText="1"/>
    </xf>
    <xf numFmtId="1" fontId="5" fillId="2" borderId="1" xfId="0" applyNumberFormat="1" applyFont="1" applyFill="1" applyBorder="1" applyAlignment="1">
      <alignment wrapText="1"/>
    </xf>
    <xf numFmtId="0" fontId="5" fillId="2" borderId="15" xfId="0" applyFont="1" applyFill="1" applyBorder="1" applyAlignment="1">
      <alignment wrapText="1"/>
    </xf>
    <xf numFmtId="164" fontId="5" fillId="2" borderId="15" xfId="1" applyNumberFormat="1" applyFont="1" applyFill="1" applyBorder="1" applyAlignment="1">
      <alignment wrapText="1"/>
    </xf>
    <xf numFmtId="164" fontId="5" fillId="2" borderId="6" xfId="1" applyNumberFormat="1" applyFont="1" applyFill="1" applyBorder="1" applyAlignment="1">
      <alignment wrapText="1"/>
    </xf>
    <xf numFmtId="9" fontId="5" fillId="2" borderId="6" xfId="3" applyFont="1" applyFill="1" applyBorder="1" applyAlignment="1">
      <alignment wrapText="1"/>
    </xf>
    <xf numFmtId="6" fontId="5" fillId="2" borderId="6" xfId="0" applyNumberFormat="1" applyFont="1" applyFill="1" applyBorder="1" applyAlignment="1">
      <alignment wrapText="1"/>
    </xf>
    <xf numFmtId="165" fontId="5" fillId="2" borderId="7" xfId="2" applyNumberFormat="1" applyFont="1" applyFill="1" applyBorder="1" applyAlignment="1">
      <alignment wrapText="1"/>
    </xf>
    <xf numFmtId="0" fontId="5" fillId="2" borderId="12" xfId="0" applyFont="1" applyFill="1" applyBorder="1" applyAlignment="1">
      <alignment wrapText="1"/>
    </xf>
    <xf numFmtId="164" fontId="5" fillId="2" borderId="15" xfId="0" applyNumberFormat="1" applyFont="1" applyFill="1" applyBorder="1" applyAlignment="1">
      <alignment wrapText="1"/>
    </xf>
    <xf numFmtId="164" fontId="5" fillId="2" borderId="6" xfId="0" applyNumberFormat="1" applyFont="1" applyFill="1" applyBorder="1" applyAlignment="1">
      <alignment wrapText="1"/>
    </xf>
    <xf numFmtId="1" fontId="5" fillId="2" borderId="6" xfId="0" applyNumberFormat="1" applyFont="1" applyFill="1" applyBorder="1" applyAlignment="1">
      <alignment wrapText="1"/>
    </xf>
    <xf numFmtId="1" fontId="5" fillId="2" borderId="7" xfId="0" applyNumberFormat="1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165" fontId="5" fillId="2" borderId="0" xfId="2" applyNumberFormat="1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0" fontId="11" fillId="2" borderId="0" xfId="0" applyFont="1" applyFill="1" applyAlignment="1">
      <alignment wrapText="1"/>
    </xf>
    <xf numFmtId="0" fontId="6" fillId="2" borderId="13" xfId="0" applyFont="1" applyFill="1" applyBorder="1" applyAlignment="1">
      <alignment wrapText="1"/>
    </xf>
    <xf numFmtId="0" fontId="5" fillId="2" borderId="13" xfId="0" applyFont="1" applyFill="1" applyBorder="1" applyAlignment="1">
      <alignment wrapText="1"/>
    </xf>
    <xf numFmtId="165" fontId="5" fillId="2" borderId="25" xfId="2" applyNumberFormat="1" applyFont="1" applyFill="1" applyBorder="1" applyAlignment="1">
      <alignment wrapText="1"/>
    </xf>
    <xf numFmtId="165" fontId="5" fillId="2" borderId="2" xfId="2" applyNumberFormat="1" applyFont="1" applyFill="1" applyBorder="1" applyAlignment="1">
      <alignment wrapText="1"/>
    </xf>
    <xf numFmtId="169" fontId="5" fillId="2" borderId="0" xfId="0" applyNumberFormat="1" applyFont="1" applyFill="1" applyAlignment="1">
      <alignment wrapText="1"/>
    </xf>
    <xf numFmtId="44" fontId="5" fillId="2" borderId="25" xfId="0" applyNumberFormat="1" applyFont="1" applyFill="1" applyBorder="1"/>
    <xf numFmtId="44" fontId="5" fillId="2" borderId="2" xfId="0" applyNumberFormat="1" applyFont="1" applyFill="1" applyBorder="1"/>
    <xf numFmtId="44" fontId="5" fillId="2" borderId="2" xfId="2" applyFont="1" applyFill="1" applyBorder="1"/>
    <xf numFmtId="44" fontId="5" fillId="2" borderId="3" xfId="2" applyFont="1" applyFill="1" applyBorder="1"/>
    <xf numFmtId="5" fontId="5" fillId="2" borderId="1" xfId="2" applyNumberFormat="1" applyFont="1" applyFill="1" applyBorder="1" applyAlignment="1">
      <alignment wrapText="1"/>
    </xf>
    <xf numFmtId="166" fontId="5" fillId="2" borderId="14" xfId="0" applyNumberFormat="1" applyFont="1" applyFill="1" applyBorder="1"/>
    <xf numFmtId="166" fontId="5" fillId="2" borderId="0" xfId="0" applyNumberFormat="1" applyFont="1" applyFill="1" applyBorder="1"/>
    <xf numFmtId="0" fontId="5" fillId="2" borderId="1" xfId="0" applyFont="1" applyFill="1" applyBorder="1"/>
    <xf numFmtId="165" fontId="5" fillId="2" borderId="14" xfId="2" applyNumberFormat="1" applyFont="1" applyFill="1" applyBorder="1" applyAlignment="1">
      <alignment wrapText="1"/>
    </xf>
    <xf numFmtId="44" fontId="5" fillId="2" borderId="14" xfId="0" applyNumberFormat="1" applyFont="1" applyFill="1" applyBorder="1"/>
    <xf numFmtId="167" fontId="5" fillId="2" borderId="0" xfId="2" applyNumberFormat="1" applyFont="1" applyFill="1" applyBorder="1"/>
    <xf numFmtId="168" fontId="5" fillId="2" borderId="15" xfId="2" applyNumberFormat="1" applyFont="1" applyFill="1" applyBorder="1" applyAlignment="1">
      <alignment wrapText="1"/>
    </xf>
    <xf numFmtId="165" fontId="5" fillId="2" borderId="6" xfId="2" applyNumberFormat="1" applyFont="1" applyFill="1" applyBorder="1" applyAlignment="1">
      <alignment wrapText="1"/>
    </xf>
    <xf numFmtId="44" fontId="5" fillId="2" borderId="15" xfId="0" applyNumberFormat="1" applyFont="1" applyFill="1" applyBorder="1"/>
    <xf numFmtId="44" fontId="5" fillId="2" borderId="6" xfId="0" applyNumberFormat="1" applyFont="1" applyFill="1" applyBorder="1"/>
    <xf numFmtId="44" fontId="5" fillId="2" borderId="6" xfId="2" applyFont="1" applyFill="1" applyBorder="1"/>
    <xf numFmtId="44" fontId="5" fillId="2" borderId="7" xfId="2" applyFont="1" applyFill="1" applyBorder="1"/>
    <xf numFmtId="166" fontId="5" fillId="2" borderId="0" xfId="0" applyNumberFormat="1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9" fontId="5" fillId="2" borderId="0" xfId="0" applyNumberFormat="1" applyFont="1" applyFill="1" applyBorder="1" applyAlignment="1">
      <alignment wrapText="1"/>
    </xf>
    <xf numFmtId="9" fontId="5" fillId="2" borderId="1" xfId="0" applyNumberFormat="1" applyFont="1" applyFill="1" applyBorder="1" applyAlignment="1">
      <alignment wrapText="1"/>
    </xf>
    <xf numFmtId="9" fontId="5" fillId="2" borderId="6" xfId="0" applyNumberFormat="1" applyFont="1" applyFill="1" applyBorder="1" applyAlignment="1">
      <alignment wrapText="1"/>
    </xf>
    <xf numFmtId="9" fontId="5" fillId="2" borderId="7" xfId="0" applyNumberFormat="1" applyFont="1" applyFill="1" applyBorder="1" applyAlignment="1">
      <alignment wrapText="1"/>
    </xf>
    <xf numFmtId="166" fontId="5" fillId="2" borderId="6" xfId="0" applyNumberFormat="1" applyFont="1" applyFill="1" applyBorder="1" applyAlignment="1">
      <alignment wrapText="1"/>
    </xf>
    <xf numFmtId="0" fontId="6" fillId="2" borderId="16" xfId="0" applyFont="1" applyFill="1" applyBorder="1" applyAlignment="1">
      <alignment wrapText="1"/>
    </xf>
    <xf numFmtId="0" fontId="5" fillId="2" borderId="3" xfId="0" applyFont="1" applyFill="1" applyBorder="1" applyAlignment="1">
      <alignment wrapText="1"/>
    </xf>
    <xf numFmtId="168" fontId="5" fillId="2" borderId="0" xfId="0" applyNumberFormat="1" applyFont="1" applyFill="1" applyBorder="1" applyAlignment="1">
      <alignment wrapText="1"/>
    </xf>
    <xf numFmtId="168" fontId="5" fillId="2" borderId="6" xfId="0" applyNumberFormat="1" applyFont="1" applyFill="1" applyBorder="1" applyAlignment="1">
      <alignment wrapText="1"/>
    </xf>
    <xf numFmtId="0" fontId="2" fillId="2" borderId="0" xfId="0" applyFont="1" applyFill="1"/>
    <xf numFmtId="0" fontId="6" fillId="2" borderId="0" xfId="0" applyFont="1" applyFill="1"/>
    <xf numFmtId="0" fontId="5" fillId="2" borderId="6" xfId="0" applyFont="1" applyFill="1" applyBorder="1" applyAlignment="1">
      <alignment wrapText="1"/>
    </xf>
    <xf numFmtId="0" fontId="6" fillId="2" borderId="25" xfId="0" applyFont="1" applyFill="1" applyBorder="1"/>
    <xf numFmtId="0" fontId="9" fillId="2" borderId="2" xfId="0" applyFont="1" applyFill="1" applyBorder="1"/>
    <xf numFmtId="0" fontId="6" fillId="2" borderId="3" xfId="0" applyFont="1" applyFill="1" applyBorder="1"/>
    <xf numFmtId="0" fontId="5" fillId="2" borderId="14" xfId="0" applyFont="1" applyFill="1" applyBorder="1"/>
    <xf numFmtId="0" fontId="7" fillId="2" borderId="23" xfId="0" applyFont="1" applyFill="1" applyBorder="1"/>
    <xf numFmtId="0" fontId="5" fillId="2" borderId="15" xfId="0" applyFont="1" applyFill="1" applyBorder="1"/>
    <xf numFmtId="0" fontId="15" fillId="2" borderId="0" xfId="0" applyFont="1" applyFill="1" applyBorder="1"/>
    <xf numFmtId="1" fontId="5" fillId="2" borderId="0" xfId="2" applyNumberFormat="1" applyFont="1" applyFill="1" applyBorder="1" applyAlignment="1">
      <alignment wrapText="1"/>
    </xf>
    <xf numFmtId="1" fontId="5" fillId="2" borderId="23" xfId="2" applyNumberFormat="1" applyFont="1" applyFill="1" applyBorder="1" applyAlignment="1">
      <alignment wrapText="1"/>
    </xf>
    <xf numFmtId="0" fontId="17" fillId="2" borderId="0" xfId="0" applyFont="1" applyFill="1"/>
    <xf numFmtId="43" fontId="0" fillId="2" borderId="0" xfId="0" applyNumberFormat="1" applyFill="1" applyBorder="1"/>
    <xf numFmtId="43" fontId="0" fillId="2" borderId="1" xfId="0" applyNumberFormat="1" applyFill="1" applyBorder="1"/>
    <xf numFmtId="164" fontId="0" fillId="2" borderId="1" xfId="0" applyNumberFormat="1" applyFill="1" applyBorder="1"/>
    <xf numFmtId="165" fontId="0" fillId="2" borderId="1" xfId="2" applyNumberFormat="1" applyFont="1" applyFill="1" applyBorder="1"/>
    <xf numFmtId="165" fontId="0" fillId="2" borderId="6" xfId="2" applyNumberFormat="1" applyFont="1" applyFill="1" applyBorder="1"/>
    <xf numFmtId="165" fontId="0" fillId="2" borderId="7" xfId="2" applyNumberFormat="1" applyFont="1" applyFill="1" applyBorder="1"/>
    <xf numFmtId="0" fontId="1" fillId="2" borderId="10" xfId="0" applyFont="1" applyFill="1" applyBorder="1"/>
    <xf numFmtId="164" fontId="5" fillId="3" borderId="0" xfId="0" applyNumberFormat="1" applyFont="1" applyFill="1" applyBorder="1" applyAlignment="1">
      <alignment wrapText="1"/>
    </xf>
    <xf numFmtId="164" fontId="5" fillId="3" borderId="1" xfId="0" applyNumberFormat="1" applyFont="1" applyFill="1" applyBorder="1" applyAlignment="1">
      <alignment wrapText="1"/>
    </xf>
    <xf numFmtId="165" fontId="5" fillId="3" borderId="0" xfId="2" applyNumberFormat="1" applyFont="1" applyFill="1" applyBorder="1" applyAlignment="1">
      <alignment wrapText="1"/>
    </xf>
    <xf numFmtId="165" fontId="5" fillId="3" borderId="1" xfId="2" applyNumberFormat="1" applyFont="1" applyFill="1" applyBorder="1" applyAlignment="1">
      <alignment wrapText="1"/>
    </xf>
    <xf numFmtId="165" fontId="7" fillId="2" borderId="0" xfId="2" applyNumberFormat="1" applyFont="1" applyFill="1" applyBorder="1"/>
    <xf numFmtId="43" fontId="5" fillId="2" borderId="0" xfId="0" applyNumberFormat="1" applyFont="1" applyFill="1" applyBorder="1" applyAlignment="1">
      <alignment wrapText="1"/>
    </xf>
    <xf numFmtId="170" fontId="5" fillId="2" borderId="0" xfId="0" applyNumberFormat="1" applyFont="1" applyFill="1" applyBorder="1" applyAlignment="1">
      <alignment wrapText="1"/>
    </xf>
    <xf numFmtId="1" fontId="0" fillId="0" borderId="0" xfId="0" applyNumberFormat="1" applyBorder="1"/>
    <xf numFmtId="1" fontId="0" fillId="0" borderId="6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0" fontId="0" fillId="0" borderId="9" xfId="0" applyBorder="1"/>
    <xf numFmtId="0" fontId="0" fillId="0" borderId="8" xfId="0" applyBorder="1"/>
    <xf numFmtId="1" fontId="5" fillId="2" borderId="16" xfId="0" applyNumberFormat="1" applyFont="1" applyFill="1" applyBorder="1" applyAlignment="1">
      <alignment wrapText="1"/>
    </xf>
    <xf numFmtId="1" fontId="5" fillId="2" borderId="11" xfId="0" applyNumberFormat="1" applyFont="1" applyFill="1" applyBorder="1" applyAlignment="1">
      <alignment wrapText="1"/>
    </xf>
    <xf numFmtId="1" fontId="5" fillId="2" borderId="12" xfId="0" applyNumberFormat="1" applyFont="1" applyFill="1" applyBorder="1" applyAlignment="1">
      <alignment wrapText="1"/>
    </xf>
    <xf numFmtId="168" fontId="5" fillId="2" borderId="16" xfId="0" applyNumberFormat="1" applyFont="1" applyFill="1" applyBorder="1" applyAlignment="1">
      <alignment wrapText="1"/>
    </xf>
    <xf numFmtId="168" fontId="0" fillId="0" borderId="0" xfId="0" applyNumberFormat="1" applyBorder="1"/>
    <xf numFmtId="0" fontId="5" fillId="2" borderId="8" xfId="0" applyFont="1" applyFill="1" applyBorder="1" applyAlignment="1">
      <alignment wrapText="1"/>
    </xf>
    <xf numFmtId="0" fontId="0" fillId="0" borderId="9" xfId="0" applyFont="1" applyBorder="1"/>
    <xf numFmtId="0" fontId="0" fillId="0" borderId="0" xfId="0" applyFill="1" applyBorder="1"/>
    <xf numFmtId="2" fontId="5" fillId="2" borderId="8" xfId="0" applyNumberFormat="1" applyFont="1" applyFill="1" applyBorder="1" applyAlignment="1">
      <alignment wrapText="1"/>
    </xf>
    <xf numFmtId="2" fontId="0" fillId="0" borderId="8" xfId="0" applyNumberFormat="1" applyBorder="1"/>
    <xf numFmtId="171" fontId="1" fillId="2" borderId="0" xfId="0" applyNumberFormat="1" applyFont="1" applyFill="1"/>
    <xf numFmtId="164" fontId="5" fillId="2" borderId="13" xfId="1" applyNumberFormat="1" applyFont="1" applyFill="1" applyBorder="1" applyAlignment="1">
      <alignment wrapText="1"/>
    </xf>
    <xf numFmtId="0" fontId="0" fillId="0" borderId="3" xfId="0" applyBorder="1"/>
    <xf numFmtId="0" fontId="0" fillId="0" borderId="1" xfId="0" applyBorder="1"/>
    <xf numFmtId="0" fontId="0" fillId="0" borderId="7" xfId="0" applyBorder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5" fillId="2" borderId="2" xfId="0" applyFont="1" applyFill="1" applyBorder="1"/>
    <xf numFmtId="165" fontId="5" fillId="2" borderId="0" xfId="0" applyNumberFormat="1" applyFont="1" applyFill="1" applyBorder="1"/>
    <xf numFmtId="165" fontId="5" fillId="2" borderId="6" xfId="0" applyNumberFormat="1" applyFont="1" applyFill="1" applyBorder="1"/>
    <xf numFmtId="44" fontId="5" fillId="2" borderId="0" xfId="2" applyFont="1" applyFill="1" applyBorder="1" applyAlignment="1">
      <alignment wrapText="1"/>
    </xf>
    <xf numFmtId="166" fontId="5" fillId="2" borderId="0" xfId="2" applyNumberFormat="1" applyFont="1" applyFill="1" applyBorder="1" applyAlignment="1">
      <alignment wrapText="1"/>
    </xf>
    <xf numFmtId="0" fontId="1" fillId="2" borderId="2" xfId="0" applyFont="1" applyFill="1" applyBorder="1"/>
    <xf numFmtId="0" fontId="5" fillId="2" borderId="3" xfId="0" applyFont="1" applyFill="1" applyBorder="1"/>
    <xf numFmtId="44" fontId="5" fillId="2" borderId="1" xfId="0" applyNumberFormat="1" applyFont="1" applyFill="1" applyBorder="1" applyAlignment="1">
      <alignment wrapText="1"/>
    </xf>
    <xf numFmtId="0" fontId="6" fillId="2" borderId="16" xfId="0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Benefits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Difference!$N$3</c:f>
              <c:strCache>
                <c:ptCount val="1"/>
                <c:pt idx="0">
                  <c:v>Benefit of Scenario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Difference!$L$4:$L$14</c:f>
              <c:strCache>
                <c:ptCount val="11"/>
                <c:pt idx="0">
                  <c:v>Household Travel Time</c:v>
                </c:pt>
                <c:pt idx="1">
                  <c:v>Household Auto Operating and Tolls</c:v>
                </c:pt>
                <c:pt idx="2">
                  <c:v>Auto Ownership</c:v>
                </c:pt>
                <c:pt idx="3">
                  <c:v>Truck Travel Time</c:v>
                </c:pt>
                <c:pt idx="4">
                  <c:v>Truck Tolls</c:v>
                </c:pt>
                <c:pt idx="5">
                  <c:v>Truck Operating Costs</c:v>
                </c:pt>
                <c:pt idx="6">
                  <c:v>Transit Fares</c:v>
                </c:pt>
                <c:pt idx="7">
                  <c:v>Parking</c:v>
                </c:pt>
                <c:pt idx="8">
                  <c:v>Health</c:v>
                </c:pt>
                <c:pt idx="9">
                  <c:v>Safety</c:v>
                </c:pt>
                <c:pt idx="10">
                  <c:v>Air Quality</c:v>
                </c:pt>
              </c:strCache>
            </c:strRef>
          </c:cat>
          <c:val>
            <c:numRef>
              <c:f>Difference!$N$4:$N$14</c:f>
              <c:numCache>
                <c:formatCode>_("$"* #,##0_);_("$"* \(#,##0\);_("$"* "-"??_);_(@_)</c:formatCode>
                <c:ptCount val="11"/>
                <c:pt idx="0">
                  <c:v>1028236.1564648782</c:v>
                </c:pt>
                <c:pt idx="1">
                  <c:v>73336.709486369044</c:v>
                </c:pt>
                <c:pt idx="2">
                  <c:v>816674.72999729216</c:v>
                </c:pt>
                <c:pt idx="3">
                  <c:v>1628984.8762998995</c:v>
                </c:pt>
                <c:pt idx="4">
                  <c:v>-875248.86083900009</c:v>
                </c:pt>
                <c:pt idx="5">
                  <c:v>-172158.81503931005</c:v>
                </c:pt>
                <c:pt idx="6">
                  <c:v>-203323.31999962591</c:v>
                </c:pt>
                <c:pt idx="7">
                  <c:v>66869.617412500083</c:v>
                </c:pt>
                <c:pt idx="8">
                  <c:v>0</c:v>
                </c:pt>
                <c:pt idx="9">
                  <c:v>-87988.511452442734</c:v>
                </c:pt>
                <c:pt idx="10">
                  <c:v>331638.82032543956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6-49A7-A031-B11B9EB7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95615144"/>
        <c:axId val="595616456"/>
      </c:barChart>
      <c:valAx>
        <c:axId val="595616456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5144"/>
        <c:crosses val="autoZero"/>
        <c:crossBetween val="between"/>
      </c:valAx>
      <c:catAx>
        <c:axId val="59561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6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</a:t>
            </a:r>
            <a:r>
              <a:rPr lang="en-US" baseline="0"/>
              <a:t> in </a:t>
            </a:r>
            <a:r>
              <a:rPr lang="en-US"/>
              <a:t>Daily Collisions by Type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Difference!$C$37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Difference!$B$38:$B$40</c:f>
              <c:strCache>
                <c:ptCount val="3"/>
                <c:pt idx="0">
                  <c:v>Injury Collisions</c:v>
                </c:pt>
                <c:pt idx="1">
                  <c:v>Property Damage Collisions</c:v>
                </c:pt>
                <c:pt idx="2">
                  <c:v>Fatality Collisions</c:v>
                </c:pt>
              </c:strCache>
            </c:strRef>
          </c:cat>
          <c:val>
            <c:numRef>
              <c:f>Difference!$C$38:$C$40</c:f>
              <c:numCache>
                <c:formatCode>0</c:formatCode>
                <c:ptCount val="3"/>
                <c:pt idx="0">
                  <c:v>0.68377338879048466</c:v>
                </c:pt>
                <c:pt idx="1">
                  <c:v>1.9722370813879593</c:v>
                </c:pt>
                <c:pt idx="2" formatCode="0.0">
                  <c:v>1.2494321674860975E-2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6-4185-B5BC-D814F7FD7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412672"/>
        <c:axId val="84423040"/>
      </c:barChart>
      <c:catAx>
        <c:axId val="8441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Collison Category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4423040"/>
        <c:crosses val="autoZero"/>
        <c:auto val="1"/>
        <c:lblAlgn val="ctr"/>
        <c:lblOffset val="100"/>
        <c:noMultiLvlLbl val="0"/>
      </c:catAx>
      <c:valAx>
        <c:axId val="84423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Difference in Collisions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441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 in Health Benefit </a:t>
            </a:r>
          </a:p>
          <a:p>
            <a:pPr>
              <a:defRPr/>
            </a:pPr>
            <a:r>
              <a:rPr lang="en-US"/>
              <a:t>of Active Transport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HeatResults!$R$4</c:f>
              <c:strCache>
                <c:ptCount val="1"/>
                <c:pt idx="0">
                  <c:v>Walking</c:v>
                </c:pt>
              </c:strCache>
            </c:strRef>
          </c:tx>
          <c:invertIfNegative val="0"/>
          <c:cat>
            <c:strRef>
              <c:f>HeatResults!$Q$8</c:f>
              <c:strCache>
                <c:ptCount val="1"/>
                <c:pt idx="0">
                  <c:v>Health Benefits</c:v>
                </c:pt>
              </c:strCache>
            </c:strRef>
          </c:cat>
          <c:val>
            <c:numRef>
              <c:f>HeatResults!$R$8</c:f>
              <c:numCache>
                <c:formatCode>_("$"* #,##0_);_("$"* \(#,##0\);_("$"* "-"??_);_(@_)</c:formatCode>
                <c:ptCount val="1"/>
                <c:pt idx="0">
                  <c:v>5296600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2-43C8-BA8F-1A9617BA348E}"/>
            </c:ext>
          </c:extLst>
        </c:ser>
        <c:ser>
          <c:idx val="1"/>
          <c:order val="1"/>
          <c:tx>
            <c:strRef>
              <c:f>HeatResults!$S$4</c:f>
              <c:strCache>
                <c:ptCount val="1"/>
                <c:pt idx="0">
                  <c:v>Cycling</c:v>
                </c:pt>
              </c:strCache>
            </c:strRef>
          </c:tx>
          <c:invertIfNegative val="0"/>
          <c:cat>
            <c:strRef>
              <c:f>HeatResults!$Q$8</c:f>
              <c:strCache>
                <c:ptCount val="1"/>
                <c:pt idx="0">
                  <c:v>Health Benefits</c:v>
                </c:pt>
              </c:strCache>
            </c:strRef>
          </c:cat>
          <c:val>
            <c:numRef>
              <c:f>HeatResults!$S$8</c:f>
              <c:numCache>
                <c:formatCode>_("$"* #,##0_);_("$"* \(#,##0\);_("$"* "-"??_);_(@_)</c:formatCode>
                <c:ptCount val="1"/>
                <c:pt idx="0">
                  <c:v>1640146.6666666667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52-43C8-BA8F-1A9617BA3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456192"/>
        <c:axId val="84458112"/>
      </c:barChart>
      <c:catAx>
        <c:axId val="8445619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</a:t>
                </a:r>
              </a:p>
            </c:rich>
          </c:tx>
          <c:layout>
            <c:manualLayout>
              <c:xMode val="edge"/>
              <c:yMode val="edge"/>
              <c:x val="0.47064741907261592"/>
              <c:y val="0.89513888888888893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84458112"/>
        <c:crosses val="autoZero"/>
        <c:auto val="1"/>
        <c:lblAlgn val="ctr"/>
        <c:lblOffset val="100"/>
        <c:noMultiLvlLbl val="0"/>
      </c:catAx>
      <c:valAx>
        <c:axId val="84458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Health Benefit Improvement from Active Transport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8079870224555264"/>
            </c:manualLayout>
          </c:layout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8445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the Population </a:t>
            </a:r>
          </a:p>
          <a:p>
            <a:pPr>
              <a:defRPr/>
            </a:pPr>
            <a:r>
              <a:rPr lang="en-US"/>
              <a:t>Using Each Mode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075240594925635"/>
          <c:y val="0.32871536891221931"/>
          <c:w val="0.59271959755030623"/>
          <c:h val="0.39231846019247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'Baseline Metrics'!$G$16</c:f>
              <c:strCache>
                <c:ptCount val="1"/>
                <c:pt idx="0">
                  <c:v>Percent of Population Using Mode</c:v>
                </c:pt>
              </c:strCache>
            </c:strRef>
          </c:tx>
          <c:invertIfNegative val="0"/>
          <c:cat>
            <c:strRef>
              <c:f>'Baseline Metrics'!$B$17:$B$22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'Baseline Metrics'!$G$17:$G$22</c:f>
              <c:numCache>
                <c:formatCode>0%</c:formatCode>
                <c:ptCount val="6"/>
                <c:pt idx="0">
                  <c:v>0.48542141922287391</c:v>
                </c:pt>
                <c:pt idx="1">
                  <c:v>0.34867794670710073</c:v>
                </c:pt>
                <c:pt idx="2">
                  <c:v>0.21654261556243196</c:v>
                </c:pt>
                <c:pt idx="3">
                  <c:v>7.5700688769174823E-2</c:v>
                </c:pt>
                <c:pt idx="4">
                  <c:v>0.25702857873376711</c:v>
                </c:pt>
                <c:pt idx="5">
                  <c:v>3.7183475827062669E-2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B-478F-8142-9F3850EC4808}"/>
            </c:ext>
          </c:extLst>
        </c:ser>
        <c:ser>
          <c:idx val="1"/>
          <c:order val="1"/>
          <c:tx>
            <c:strRef>
              <c:f>'Baseline Metrics'!$H$16</c:f>
              <c:strCache>
                <c:ptCount val="1"/>
                <c:pt idx="0">
                  <c:v>Percent of Low Income Population Using Mode</c:v>
                </c:pt>
              </c:strCache>
            </c:strRef>
          </c:tx>
          <c:invertIfNegative val="0"/>
          <c:cat>
            <c:strRef>
              <c:f>'Baseline Metrics'!$B$17:$B$22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'Baseline Metrics'!$H$17:$H$22</c:f>
              <c:numCache>
                <c:formatCode>0%</c:formatCode>
                <c:ptCount val="6"/>
                <c:pt idx="0">
                  <c:v>0.42121420389461628</c:v>
                </c:pt>
                <c:pt idx="1">
                  <c:v>0.3072209649931551</c:v>
                </c:pt>
                <c:pt idx="2">
                  <c:v>0.16464895370603191</c:v>
                </c:pt>
                <c:pt idx="3">
                  <c:v>0.33864945659765877</c:v>
                </c:pt>
                <c:pt idx="4">
                  <c:v>0.28733886514122875</c:v>
                </c:pt>
                <c:pt idx="5">
                  <c:v>4.409353784259492E-2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9B-478F-8142-9F3850EC4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551936"/>
        <c:axId val="84582784"/>
      </c:barChart>
      <c:catAx>
        <c:axId val="8455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Mode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4582784"/>
        <c:crosses val="autoZero"/>
        <c:auto val="1"/>
        <c:lblAlgn val="ctr"/>
        <c:lblOffset val="100"/>
        <c:noMultiLvlLbl val="0"/>
      </c:catAx>
      <c:valAx>
        <c:axId val="84582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Percent of Population </a:t>
                </a:r>
              </a:p>
            </c:rich>
          </c:tx>
          <c:layout>
            <c:manualLayout>
              <c:xMode val="edge"/>
              <c:yMode val="edge"/>
              <c:x val="1.6776027996500452E-3"/>
              <c:y val="0.1910414843977836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84551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458311461067362"/>
          <c:y val="0.33464895013123358"/>
          <c:w val="0.22875021872265969"/>
          <c:h val="0.529313210848643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Minutes per Day spent in each mode per mode user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5068044619422571"/>
          <c:y val="4.62962962962962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23623869932925046"/>
          <c:w val="0.59277559055118112"/>
          <c:h val="0.549609944590259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'Baseline Metrics'!$O$17</c:f>
              <c:strCache>
                <c:ptCount val="1"/>
                <c:pt idx="0">
                  <c:v>minutes per Mode User</c:v>
                </c:pt>
              </c:strCache>
            </c:strRef>
          </c:tx>
          <c:invertIfNegative val="0"/>
          <c:cat>
            <c:strRef>
              <c:f>'Baseline Metrics'!$L$18:$L$23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'Baseline Metrics'!$O$18:$O$23</c:f>
              <c:numCache>
                <c:formatCode>0</c:formatCode>
                <c:ptCount val="6"/>
                <c:pt idx="0">
                  <c:v>66.682422133777735</c:v>
                </c:pt>
                <c:pt idx="1">
                  <c:v>40.686471827110068</c:v>
                </c:pt>
                <c:pt idx="2">
                  <c:v>38.961616147528474</c:v>
                </c:pt>
                <c:pt idx="3">
                  <c:v>71.05937700892251</c:v>
                </c:pt>
                <c:pt idx="4">
                  <c:v>90.505168258226263</c:v>
                </c:pt>
                <c:pt idx="5">
                  <c:v>62.971569461657388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F-4EB3-BF71-A792B4B056C4}"/>
            </c:ext>
          </c:extLst>
        </c:ser>
        <c:ser>
          <c:idx val="1"/>
          <c:order val="1"/>
          <c:tx>
            <c:strRef>
              <c:f>'Baseline Metrics'!$P$17</c:f>
              <c:strCache>
                <c:ptCount val="1"/>
                <c:pt idx="0">
                  <c:v>minutes per Low Income Mode User</c:v>
                </c:pt>
              </c:strCache>
            </c:strRef>
          </c:tx>
          <c:invertIfNegative val="0"/>
          <c:cat>
            <c:strRef>
              <c:f>'Baseline Metrics'!$L$18:$L$23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'Baseline Metrics'!$P$18:$P$23</c:f>
              <c:numCache>
                <c:formatCode>0</c:formatCode>
                <c:ptCount val="6"/>
                <c:pt idx="0">
                  <c:v>59.988209721459327</c:v>
                </c:pt>
                <c:pt idx="1">
                  <c:v>40.320770450406208</c:v>
                </c:pt>
                <c:pt idx="2">
                  <c:v>36.94612095537623</c:v>
                </c:pt>
                <c:pt idx="3">
                  <c:v>20.459850706204627</c:v>
                </c:pt>
                <c:pt idx="4">
                  <c:v>97.544139061313103</c:v>
                </c:pt>
                <c:pt idx="5">
                  <c:v>65.624580463505779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4F-4EB3-BF71-A792B4B05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275840"/>
        <c:axId val="114277760"/>
      </c:barChart>
      <c:catAx>
        <c:axId val="11427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Mode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114277760"/>
        <c:crosses val="autoZero"/>
        <c:auto val="1"/>
        <c:lblAlgn val="ctr"/>
        <c:lblOffset val="100"/>
        <c:noMultiLvlLbl val="0"/>
      </c:catAx>
      <c:valAx>
        <c:axId val="114277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Average Mintutes Spent Traveling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14275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97244094488194"/>
          <c:y val="0.34859580052493438"/>
          <c:w val="0.21502755905511811"/>
          <c:h val="0.3487576552930883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Daily Cost per Person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61351706036745"/>
          <c:y val="0.20084171770195391"/>
          <c:w val="0.76594203849518816"/>
          <c:h val="0.40108668708078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'Baseline Metrics'!$N$3</c:f>
              <c:strCache>
                <c:ptCount val="1"/>
                <c:pt idx="0">
                  <c:v>Value per Person</c:v>
                </c:pt>
              </c:strCache>
            </c:strRef>
          </c:tx>
          <c:invertIfNegative val="0"/>
          <c:cat>
            <c:strRef>
              <c:f>'Baseline Metrics'!$L$4:$L$14</c:f>
              <c:strCache>
                <c:ptCount val="11"/>
                <c:pt idx="0">
                  <c:v>Household Travel Time</c:v>
                </c:pt>
                <c:pt idx="1">
                  <c:v>Household Auto Operating and Tolls</c:v>
                </c:pt>
                <c:pt idx="2">
                  <c:v>Truck Travel Time</c:v>
                </c:pt>
                <c:pt idx="3">
                  <c:v>Truck Tolls</c:v>
                </c:pt>
                <c:pt idx="4">
                  <c:v>Truck Operating Costs</c:v>
                </c:pt>
                <c:pt idx="5">
                  <c:v>Auto Ownership</c:v>
                </c:pt>
                <c:pt idx="6">
                  <c:v>Transit Fares</c:v>
                </c:pt>
                <c:pt idx="7">
                  <c:v>Parking</c:v>
                </c:pt>
                <c:pt idx="8">
                  <c:v>Health</c:v>
                </c:pt>
                <c:pt idx="9">
                  <c:v>Safety</c:v>
                </c:pt>
                <c:pt idx="10">
                  <c:v>Air Quality</c:v>
                </c:pt>
              </c:strCache>
            </c:strRef>
          </c:cat>
          <c:val>
            <c:numRef>
              <c:f>'Baseline Metrics'!$N$4:$N$14</c:f>
              <c:numCache>
                <c:formatCode>_("$"* #,##0.00_);_("$"* \(#,##0.00\);_("$"* "-"??_);_(@_)</c:formatCode>
                <c:ptCount val="11"/>
                <c:pt idx="0">
                  <c:v>35.823150871408949</c:v>
                </c:pt>
                <c:pt idx="1">
                  <c:v>3.0655382020245896</c:v>
                </c:pt>
                <c:pt idx="2">
                  <c:v>2.5540413626983867</c:v>
                </c:pt>
                <c:pt idx="3">
                  <c:v>1.6445090204067521</c:v>
                </c:pt>
                <c:pt idx="4">
                  <c:v>0.18820408178109652</c:v>
                </c:pt>
                <c:pt idx="5">
                  <c:v>15.718788287372627</c:v>
                </c:pt>
                <c:pt idx="6">
                  <c:v>0.14197090382485794</c:v>
                </c:pt>
                <c:pt idx="7">
                  <c:v>0.57862393371313126</c:v>
                </c:pt>
                <c:pt idx="9">
                  <c:v>1.5912710595973814</c:v>
                </c:pt>
                <c:pt idx="10">
                  <c:v>0.86340504405863394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D-4100-A5D6-99F949494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517440"/>
        <c:axId val="83519360"/>
      </c:barChart>
      <c:catAx>
        <c:axId val="8351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en-US" sz="1400" b="1"/>
                  <a:t>Cost Category</a:t>
                </a:r>
              </a:p>
            </c:rich>
          </c:tx>
          <c:layout>
            <c:manualLayout>
              <c:xMode val="edge"/>
              <c:yMode val="edge"/>
              <c:x val="0.38984142607174099"/>
              <c:y val="0.8627314814814814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83519360"/>
        <c:crosses val="autoZero"/>
        <c:auto val="1"/>
        <c:lblAlgn val="ctr"/>
        <c:lblOffset val="100"/>
        <c:noMultiLvlLbl val="0"/>
      </c:catAx>
      <c:valAx>
        <c:axId val="83519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Daily Cost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83517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Collisions by Type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'Baseline Metrics'!$C$39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'Baseline Metrics'!$B$40:$B$42</c:f>
              <c:strCache>
                <c:ptCount val="3"/>
                <c:pt idx="0">
                  <c:v>Injury Collisions</c:v>
                </c:pt>
                <c:pt idx="1">
                  <c:v>Property Damage Collisions</c:v>
                </c:pt>
                <c:pt idx="2">
                  <c:v>Fatality Collisions</c:v>
                </c:pt>
              </c:strCache>
            </c:strRef>
          </c:cat>
          <c:val>
            <c:numRef>
              <c:f>'Baseline Metrics'!$C$40:$C$42</c:f>
              <c:numCache>
                <c:formatCode>0</c:formatCode>
                <c:ptCount val="3"/>
                <c:pt idx="0">
                  <c:v>59.932067738659669</c:v>
                </c:pt>
                <c:pt idx="1">
                  <c:v>113.71842070871726</c:v>
                </c:pt>
                <c:pt idx="2" formatCode="0.0">
                  <c:v>1.1089193490662854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2-40EA-9C04-6E001D071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543936"/>
        <c:axId val="83554304"/>
      </c:barChart>
      <c:catAx>
        <c:axId val="8354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Collison Category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3554304"/>
        <c:crosses val="autoZero"/>
        <c:auto val="1"/>
        <c:lblAlgn val="ctr"/>
        <c:lblOffset val="100"/>
        <c:noMultiLvlLbl val="0"/>
      </c:catAx>
      <c:valAx>
        <c:axId val="83554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Daily Collisions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354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the Population </a:t>
            </a:r>
          </a:p>
          <a:p>
            <a:pPr>
              <a:defRPr/>
            </a:pPr>
            <a:r>
              <a:rPr lang="en-US"/>
              <a:t>Using Each Mode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075240594925635"/>
          <c:y val="0.32871536891221931"/>
          <c:w val="0.59271959755030623"/>
          <c:h val="0.39231846019247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'Scenario Metrics'!$G$14</c:f>
              <c:strCache>
                <c:ptCount val="1"/>
                <c:pt idx="0">
                  <c:v>Percent of Population Using Mode</c:v>
                </c:pt>
              </c:strCache>
            </c:strRef>
          </c:tx>
          <c:invertIfNegative val="0"/>
          <c:cat>
            <c:strRef>
              <c:f>'Scenario Metrics'!$B$15:$B$20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'Scenario Metrics'!$G$15:$G$20</c:f>
              <c:numCache>
                <c:formatCode>0%</c:formatCode>
                <c:ptCount val="6"/>
                <c:pt idx="0">
                  <c:v>0.47909287433551534</c:v>
                </c:pt>
                <c:pt idx="1">
                  <c:v>0.34912916229614877</c:v>
                </c:pt>
                <c:pt idx="2">
                  <c:v>0.2171979574792704</c:v>
                </c:pt>
                <c:pt idx="3">
                  <c:v>7.5700688769174823E-2</c:v>
                </c:pt>
                <c:pt idx="4">
                  <c:v>0.26903745215134267</c:v>
                </c:pt>
                <c:pt idx="5">
                  <c:v>4.0746465250845895E-2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E-4E73-8648-0D51519A9BA0}"/>
            </c:ext>
          </c:extLst>
        </c:ser>
        <c:ser>
          <c:idx val="1"/>
          <c:order val="1"/>
          <c:tx>
            <c:strRef>
              <c:f>'Scenario Metrics'!$H$14</c:f>
              <c:strCache>
                <c:ptCount val="1"/>
                <c:pt idx="0">
                  <c:v>Percent of Low Income Population Using Mode</c:v>
                </c:pt>
              </c:strCache>
            </c:strRef>
          </c:tx>
          <c:invertIfNegative val="0"/>
          <c:cat>
            <c:strRef>
              <c:f>'Scenario Metrics'!$B$15:$B$20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'Scenario Metrics'!$H$15:$H$20</c:f>
              <c:numCache>
                <c:formatCode>0%</c:formatCode>
                <c:ptCount val="6"/>
                <c:pt idx="0">
                  <c:v>0.41090939569189505</c:v>
                </c:pt>
                <c:pt idx="1">
                  <c:v>0.30513452351018355</c:v>
                </c:pt>
                <c:pt idx="2">
                  <c:v>0.16419299863101725</c:v>
                </c:pt>
                <c:pt idx="3">
                  <c:v>9.2211326236973715E-2</c:v>
                </c:pt>
                <c:pt idx="4">
                  <c:v>0.29739893275221413</c:v>
                </c:pt>
                <c:pt idx="5">
                  <c:v>4.839717263152013E-2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E-4E73-8648-0D51519A9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43296"/>
        <c:axId val="84745216"/>
      </c:barChart>
      <c:catAx>
        <c:axId val="8474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Mode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4745216"/>
        <c:crosses val="autoZero"/>
        <c:auto val="1"/>
        <c:lblAlgn val="ctr"/>
        <c:lblOffset val="100"/>
        <c:noMultiLvlLbl val="0"/>
      </c:catAx>
      <c:valAx>
        <c:axId val="84745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Percent of Population </a:t>
                </a:r>
              </a:p>
            </c:rich>
          </c:tx>
          <c:layout>
            <c:manualLayout>
              <c:xMode val="edge"/>
              <c:yMode val="edge"/>
              <c:x val="1.6776027996500452E-3"/>
              <c:y val="0.1910414843977836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84743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458311461067362"/>
          <c:y val="0.33464895013123358"/>
          <c:w val="0.22875021872265969"/>
          <c:h val="0.529313210848643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Minutes per Day spent in each mode per mode user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5068044619422571"/>
          <c:y val="4.62962962962962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23623869932925046"/>
          <c:w val="0.59277559055118112"/>
          <c:h val="0.549609944590259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'Scenario Metrics'!$O$17</c:f>
              <c:strCache>
                <c:ptCount val="1"/>
                <c:pt idx="0">
                  <c:v>minutes per Mode User</c:v>
                </c:pt>
              </c:strCache>
            </c:strRef>
          </c:tx>
          <c:invertIfNegative val="0"/>
          <c:cat>
            <c:strRef>
              <c:f>'Scenario Metrics'!$L$18:$L$23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'Scenario Metrics'!$O$18:$O$23</c:f>
              <c:numCache>
                <c:formatCode>0</c:formatCode>
                <c:ptCount val="6"/>
                <c:pt idx="0">
                  <c:v>63.640823612884681</c:v>
                </c:pt>
                <c:pt idx="1">
                  <c:v>39.897754380451403</c:v>
                </c:pt>
                <c:pt idx="2">
                  <c:v>38.456440024031693</c:v>
                </c:pt>
                <c:pt idx="3">
                  <c:v>77.753655540586863</c:v>
                </c:pt>
                <c:pt idx="4">
                  <c:v>89.675384001629311</c:v>
                </c:pt>
                <c:pt idx="5">
                  <c:v>65.633721566216835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0-4D82-9018-A04E831E00CA}"/>
            </c:ext>
          </c:extLst>
        </c:ser>
        <c:ser>
          <c:idx val="1"/>
          <c:order val="1"/>
          <c:tx>
            <c:strRef>
              <c:f>'Scenario Metrics'!$P$17</c:f>
              <c:strCache>
                <c:ptCount val="1"/>
                <c:pt idx="0">
                  <c:v>minutes per Low Income Mode User</c:v>
                </c:pt>
              </c:strCache>
            </c:strRef>
          </c:tx>
          <c:invertIfNegative val="0"/>
          <c:cat>
            <c:strRef>
              <c:f>'Scenario Metrics'!$L$18:$L$23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'Scenario Metrics'!$P$18:$P$23</c:f>
              <c:numCache>
                <c:formatCode>0</c:formatCode>
                <c:ptCount val="6"/>
                <c:pt idx="0">
                  <c:v>58.477366703024543</c:v>
                </c:pt>
                <c:pt idx="1">
                  <c:v>39.667902820257758</c:v>
                </c:pt>
                <c:pt idx="2">
                  <c:v>36.49882476080564</c:v>
                </c:pt>
                <c:pt idx="3">
                  <c:v>82.028802535088047</c:v>
                </c:pt>
                <c:pt idx="4">
                  <c:v>96.369813367770107</c:v>
                </c:pt>
                <c:pt idx="5">
                  <c:v>68.487289635102314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0-4D82-9018-A04E831E0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87584"/>
        <c:axId val="84789504"/>
      </c:barChart>
      <c:catAx>
        <c:axId val="8478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Mode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4789504"/>
        <c:crosses val="autoZero"/>
        <c:auto val="1"/>
        <c:lblAlgn val="ctr"/>
        <c:lblOffset val="100"/>
        <c:noMultiLvlLbl val="0"/>
      </c:catAx>
      <c:valAx>
        <c:axId val="84789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Average Mintutes Spent Traveling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4787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97244094488194"/>
          <c:y val="0.34859580052493438"/>
          <c:w val="0.21502755905511811"/>
          <c:h val="0.3487576552930883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Daily Cost per Person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61351706036745"/>
          <c:y val="0.20084171770195391"/>
          <c:w val="0.76594203849518816"/>
          <c:h val="0.40108668708078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'Scenario Metrics'!$N$3</c:f>
              <c:strCache>
                <c:ptCount val="1"/>
                <c:pt idx="0">
                  <c:v>Value per Person</c:v>
                </c:pt>
              </c:strCache>
            </c:strRef>
          </c:tx>
          <c:invertIfNegative val="0"/>
          <c:cat>
            <c:strRef>
              <c:f>'Scenario Metrics'!$L$4:$L$14</c:f>
              <c:strCache>
                <c:ptCount val="11"/>
                <c:pt idx="0">
                  <c:v>Travel Time</c:v>
                </c:pt>
                <c:pt idx="1">
                  <c:v>Auto Operating and Tolls</c:v>
                </c:pt>
                <c:pt idx="2">
                  <c:v>Truck Travel Time</c:v>
                </c:pt>
                <c:pt idx="3">
                  <c:v>Truck Tolls</c:v>
                </c:pt>
                <c:pt idx="4">
                  <c:v>Truck Operating Costs</c:v>
                </c:pt>
                <c:pt idx="5">
                  <c:v>Auto Ownership</c:v>
                </c:pt>
                <c:pt idx="6">
                  <c:v>Transit Fares</c:v>
                </c:pt>
                <c:pt idx="7">
                  <c:v>Parking</c:v>
                </c:pt>
                <c:pt idx="8">
                  <c:v>Health</c:v>
                </c:pt>
                <c:pt idx="9">
                  <c:v>Safety</c:v>
                </c:pt>
                <c:pt idx="10">
                  <c:v>Air Quality</c:v>
                </c:pt>
              </c:strCache>
            </c:strRef>
          </c:cat>
          <c:val>
            <c:numRef>
              <c:f>'Scenario Metrics'!$N$4:$N$14</c:f>
              <c:numCache>
                <c:formatCode>_("$"* #,##0.00_);_("$"* \(#,##0.00\);_("$"* "-"??_);_(@_)</c:formatCode>
                <c:ptCount val="11"/>
                <c:pt idx="0">
                  <c:v>35.607657985658946</c:v>
                </c:pt>
                <c:pt idx="1">
                  <c:v>3.0501686402179313</c:v>
                </c:pt>
                <c:pt idx="2">
                  <c:v>0.37163461141745202</c:v>
                </c:pt>
                <c:pt idx="3">
                  <c:v>0.72902632520035926</c:v>
                </c:pt>
                <c:pt idx="4">
                  <c:v>0.54419598088961563</c:v>
                </c:pt>
                <c:pt idx="5">
                  <c:v>15.547633447913102</c:v>
                </c:pt>
                <c:pt idx="6">
                  <c:v>0.18458244660276282</c:v>
                </c:pt>
                <c:pt idx="7">
                  <c:v>0.56460971457230613</c:v>
                </c:pt>
                <c:pt idx="9">
                  <c:v>1.6097112769798578</c:v>
                </c:pt>
                <c:pt idx="10">
                  <c:v>0.79390174370362621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B-4A20-B82C-880C35A44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133952"/>
        <c:axId val="85140224"/>
      </c:barChart>
      <c:catAx>
        <c:axId val="8513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en-US" sz="1400" b="1"/>
                  <a:t>Cost Category</a:t>
                </a:r>
              </a:p>
            </c:rich>
          </c:tx>
          <c:layout>
            <c:manualLayout>
              <c:xMode val="edge"/>
              <c:yMode val="edge"/>
              <c:x val="0.38984142607174099"/>
              <c:y val="0.8627314814814814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85140224"/>
        <c:crosses val="autoZero"/>
        <c:auto val="1"/>
        <c:lblAlgn val="ctr"/>
        <c:lblOffset val="100"/>
        <c:noMultiLvlLbl val="0"/>
      </c:catAx>
      <c:valAx>
        <c:axId val="85140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Daily Cost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85133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Collisions by Type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Metrics'!$C$37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'Scenario Metrics'!$B$38:$B$40</c:f>
              <c:strCache>
                <c:ptCount val="3"/>
                <c:pt idx="0">
                  <c:v>Injury Collisions</c:v>
                </c:pt>
                <c:pt idx="1">
                  <c:v>Property Damage Collisions</c:v>
                </c:pt>
                <c:pt idx="2">
                  <c:v>Fatality Collisions</c:v>
                </c:pt>
              </c:strCache>
            </c:strRef>
          </c:cat>
          <c:val>
            <c:numRef>
              <c:f>'Scenario Metrics'!$C$38:$C$40</c:f>
              <c:numCache>
                <c:formatCode>0</c:formatCode>
                <c:ptCount val="3"/>
                <c:pt idx="0">
                  <c:v>60.615841127450153</c:v>
                </c:pt>
                <c:pt idx="1">
                  <c:v>115.69065779010522</c:v>
                </c:pt>
                <c:pt idx="2" formatCode="0.0">
                  <c:v>1.1214136707411464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4-406E-8A7F-0E836C707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181184"/>
        <c:axId val="85183104"/>
      </c:barChart>
      <c:catAx>
        <c:axId val="8518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Collison Category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5183104"/>
        <c:crosses val="autoZero"/>
        <c:auto val="1"/>
        <c:lblAlgn val="ctr"/>
        <c:lblOffset val="100"/>
        <c:noMultiLvlLbl val="0"/>
      </c:catAx>
      <c:valAx>
        <c:axId val="85183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Daily Collisions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5181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Benefits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Difference!$L$4</c:f>
              <c:strCache>
                <c:ptCount val="1"/>
                <c:pt idx="0">
                  <c:v>Household Travel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Difference!$N$3</c:f>
              <c:strCache>
                <c:ptCount val="1"/>
                <c:pt idx="0">
                  <c:v>Benefit of Scenario</c:v>
                </c:pt>
              </c:strCache>
            </c:strRef>
          </c:cat>
          <c:val>
            <c:numRef>
              <c:f>Difference!$N$4</c:f>
              <c:numCache>
                <c:formatCode>_("$"* #,##0_);_("$"* \(#,##0\);_("$"* "-"??_);_(@_)</c:formatCode>
                <c:ptCount val="1"/>
                <c:pt idx="0">
                  <c:v>1028236.1564648782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6-42DF-A9FF-5FC03BCB5B45}"/>
            </c:ext>
          </c:extLst>
        </c:ser>
        <c:ser>
          <c:idx val="1"/>
          <c:order val="1"/>
          <c:tx>
            <c:strRef>
              <c:f>Difference!$L$5</c:f>
              <c:strCache>
                <c:ptCount val="1"/>
                <c:pt idx="0">
                  <c:v>Household Auto Operating and Tolls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Difference!$N$3</c:f>
              <c:strCache>
                <c:ptCount val="1"/>
                <c:pt idx="0">
                  <c:v>Benefit of Scenario</c:v>
                </c:pt>
              </c:strCache>
            </c:strRef>
          </c:cat>
          <c:val>
            <c:numRef>
              <c:f>Difference!$N$5</c:f>
              <c:numCache>
                <c:formatCode>_("$"* #,##0_);_("$"* \(#,##0\);_("$"* "-"??_);_(@_)</c:formatCode>
                <c:ptCount val="1"/>
                <c:pt idx="0">
                  <c:v>73336.709486369044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6-42DF-A9FF-5FC03BCB5B45}"/>
            </c:ext>
          </c:extLst>
        </c:ser>
        <c:ser>
          <c:idx val="2"/>
          <c:order val="2"/>
          <c:tx>
            <c:strRef>
              <c:f>Difference!$L$6</c:f>
              <c:strCache>
                <c:ptCount val="1"/>
                <c:pt idx="0">
                  <c:v>Auto Ownership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Difference!$N$3</c:f>
              <c:strCache>
                <c:ptCount val="1"/>
                <c:pt idx="0">
                  <c:v>Benefit of Scenario</c:v>
                </c:pt>
              </c:strCache>
            </c:strRef>
          </c:cat>
          <c:val>
            <c:numRef>
              <c:f>Difference!$N$6</c:f>
              <c:numCache>
                <c:formatCode>_("$"* #,##0_);_("$"* \(#,##0\);_("$"* "-"??_);_(@_)</c:formatCode>
                <c:ptCount val="1"/>
                <c:pt idx="0">
                  <c:v>816674.72999729216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6-42DF-A9FF-5FC03BCB5B45}"/>
            </c:ext>
          </c:extLst>
        </c:ser>
        <c:ser>
          <c:idx val="3"/>
          <c:order val="3"/>
          <c:tx>
            <c:strRef>
              <c:f>Difference!$L$7</c:f>
              <c:strCache>
                <c:ptCount val="1"/>
                <c:pt idx="0">
                  <c:v>Truck Travel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Difference!$N$3</c:f>
              <c:strCache>
                <c:ptCount val="1"/>
                <c:pt idx="0">
                  <c:v>Benefit of Scenario</c:v>
                </c:pt>
              </c:strCache>
            </c:strRef>
          </c:cat>
          <c:val>
            <c:numRef>
              <c:f>Difference!$N$7</c:f>
              <c:numCache>
                <c:formatCode>_("$"* #,##0_);_("$"* \(#,##0\);_("$"* "-"??_);_(@_)</c:formatCode>
                <c:ptCount val="1"/>
                <c:pt idx="0">
                  <c:v>1628984.8762998995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F6-42DF-A9FF-5FC03BCB5B45}"/>
            </c:ext>
          </c:extLst>
        </c:ser>
        <c:ser>
          <c:idx val="4"/>
          <c:order val="4"/>
          <c:tx>
            <c:strRef>
              <c:f>Difference!$L$8</c:f>
              <c:strCache>
                <c:ptCount val="1"/>
                <c:pt idx="0">
                  <c:v>Truck Tolls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Difference!$N$3</c:f>
              <c:strCache>
                <c:ptCount val="1"/>
                <c:pt idx="0">
                  <c:v>Benefit of Scenario</c:v>
                </c:pt>
              </c:strCache>
            </c:strRef>
          </c:cat>
          <c:val>
            <c:numRef>
              <c:f>Difference!$N$8</c:f>
              <c:numCache>
                <c:formatCode>_("$"* #,##0_);_("$"* \(#,##0\);_("$"* "-"??_);_(@_)</c:formatCode>
                <c:ptCount val="1"/>
                <c:pt idx="0">
                  <c:v>-875248.86083900009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F6-42DF-A9FF-5FC03BCB5B45}"/>
            </c:ext>
          </c:extLst>
        </c:ser>
        <c:ser>
          <c:idx val="5"/>
          <c:order val="5"/>
          <c:tx>
            <c:strRef>
              <c:f>Difference!$L$9</c:f>
              <c:strCache>
                <c:ptCount val="1"/>
                <c:pt idx="0">
                  <c:v>Truck Operating Costs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Difference!$N$3</c:f>
              <c:strCache>
                <c:ptCount val="1"/>
                <c:pt idx="0">
                  <c:v>Benefit of Scenario</c:v>
                </c:pt>
              </c:strCache>
            </c:strRef>
          </c:cat>
          <c:val>
            <c:numRef>
              <c:f>Difference!$N$9</c:f>
              <c:numCache>
                <c:formatCode>_("$"* #,##0_);_("$"* \(#,##0\);_("$"* "-"??_);_(@_)</c:formatCode>
                <c:ptCount val="1"/>
                <c:pt idx="0">
                  <c:v>-172158.81503931005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F6-42DF-A9FF-5FC03BCB5B45}"/>
            </c:ext>
          </c:extLst>
        </c:ser>
        <c:ser>
          <c:idx val="6"/>
          <c:order val="6"/>
          <c:tx>
            <c:strRef>
              <c:f>Difference!$L$10</c:f>
              <c:strCache>
                <c:ptCount val="1"/>
                <c:pt idx="0">
                  <c:v>Transit Fares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Difference!$N$3</c:f>
              <c:strCache>
                <c:ptCount val="1"/>
                <c:pt idx="0">
                  <c:v>Benefit of Scenario</c:v>
                </c:pt>
              </c:strCache>
            </c:strRef>
          </c:cat>
          <c:val>
            <c:numRef>
              <c:f>Difference!$N$10</c:f>
              <c:numCache>
                <c:formatCode>_("$"* #,##0_);_("$"* \(#,##0\);_("$"* "-"??_);_(@_)</c:formatCode>
                <c:ptCount val="1"/>
                <c:pt idx="0">
                  <c:v>-203323.31999962591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F6-42DF-A9FF-5FC03BCB5B45}"/>
            </c:ext>
          </c:extLst>
        </c:ser>
        <c:ser>
          <c:idx val="7"/>
          <c:order val="7"/>
          <c:tx>
            <c:strRef>
              <c:f>Difference!$L$11</c:f>
              <c:strCache>
                <c:ptCount val="1"/>
                <c:pt idx="0">
                  <c:v>Parking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Difference!$N$3</c:f>
              <c:strCache>
                <c:ptCount val="1"/>
                <c:pt idx="0">
                  <c:v>Benefit of Scenario</c:v>
                </c:pt>
              </c:strCache>
            </c:strRef>
          </c:cat>
          <c:val>
            <c:numRef>
              <c:f>Difference!$N$11</c:f>
              <c:numCache>
                <c:formatCode>_("$"* #,##0_);_("$"* \(#,##0\);_("$"* "-"??_);_(@_)</c:formatCode>
                <c:ptCount val="1"/>
                <c:pt idx="0">
                  <c:v>66869.617412500083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F6-42DF-A9FF-5FC03BCB5B45}"/>
            </c:ext>
          </c:extLst>
        </c:ser>
        <c:ser>
          <c:idx val="8"/>
          <c:order val="8"/>
          <c:tx>
            <c:strRef>
              <c:f>Difference!$L$12</c:f>
              <c:strCache>
                <c:ptCount val="1"/>
                <c:pt idx="0">
                  <c:v>Health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Difference!$N$3</c:f>
              <c:strCache>
                <c:ptCount val="1"/>
                <c:pt idx="0">
                  <c:v>Benefit of Scenario</c:v>
                </c:pt>
              </c:strCache>
            </c:strRef>
          </c:cat>
          <c:val>
            <c:numRef>
              <c:f>Difference!$N$12</c:f>
              <c:numCache>
                <c:formatCode>_("$"* #,##0_);_("$"* \(#,##0\);_("$"*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F6-42DF-A9FF-5FC03BCB5B45}"/>
            </c:ext>
          </c:extLst>
        </c:ser>
        <c:ser>
          <c:idx val="9"/>
          <c:order val="9"/>
          <c:tx>
            <c:strRef>
              <c:f>Difference!$L$13</c:f>
              <c:strCache>
                <c:ptCount val="1"/>
                <c:pt idx="0">
                  <c:v>Safety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Difference!$N$3</c:f>
              <c:strCache>
                <c:ptCount val="1"/>
                <c:pt idx="0">
                  <c:v>Benefit of Scenario</c:v>
                </c:pt>
              </c:strCache>
            </c:strRef>
          </c:cat>
          <c:val>
            <c:numRef>
              <c:f>Difference!$N$13</c:f>
              <c:numCache>
                <c:formatCode>_("$"* #,##0_);_("$"* \(#,##0\);_("$"* "-"??_);_(@_)</c:formatCode>
                <c:ptCount val="1"/>
                <c:pt idx="0">
                  <c:v>-87988.511452442734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F6-42DF-A9FF-5FC03BCB5B45}"/>
            </c:ext>
          </c:extLst>
        </c:ser>
        <c:ser>
          <c:idx val="10"/>
          <c:order val="10"/>
          <c:tx>
            <c:strRef>
              <c:f>Difference!$L$14</c:f>
              <c:strCache>
                <c:ptCount val="1"/>
                <c:pt idx="0">
                  <c:v>Air Quality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Difference!$N$3</c:f>
              <c:strCache>
                <c:ptCount val="1"/>
                <c:pt idx="0">
                  <c:v>Benefit of Scenario</c:v>
                </c:pt>
              </c:strCache>
            </c:strRef>
          </c:cat>
          <c:val>
            <c:numRef>
              <c:f>Difference!$N$14</c:f>
              <c:numCache>
                <c:formatCode>_("$"* #,##0_);_("$"* \(#,##0\);_("$"* "-"??_);_(@_)</c:formatCode>
                <c:ptCount val="1"/>
                <c:pt idx="0">
                  <c:v>331638.82032543956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F6-42DF-A9FF-5FC03BCB5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95615144"/>
        <c:axId val="595616456"/>
      </c:barChart>
      <c:valAx>
        <c:axId val="59561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5144"/>
        <c:crosses val="autoZero"/>
        <c:crossBetween val="between"/>
      </c:valAx>
      <c:catAx>
        <c:axId val="59561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6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 in Average </a:t>
            </a:r>
          </a:p>
          <a:p>
            <a:pPr>
              <a:defRPr/>
            </a:pPr>
            <a:r>
              <a:rPr lang="en-US"/>
              <a:t>Daily Out-of-Pocket Cost per Person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628018372703413"/>
          <c:y val="0.29653944298629337"/>
          <c:w val="0.53144203849518812"/>
          <c:h val="0.4239847623213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Difference!$M$26</c:f>
              <c:strCache>
                <c:ptCount val="1"/>
                <c:pt idx="0">
                  <c:v>per Person </c:v>
                </c:pt>
              </c:strCache>
            </c:strRef>
          </c:tx>
          <c:invertIfNegative val="0"/>
          <c:cat>
            <c:strRef>
              <c:f>Difference!$L$27:$L$30</c:f>
              <c:strCache>
                <c:ptCount val="4"/>
                <c:pt idx="0">
                  <c:v>Toll and Auto Operating Cost </c:v>
                </c:pt>
                <c:pt idx="1">
                  <c:v>Autos Owned</c:v>
                </c:pt>
                <c:pt idx="2">
                  <c:v>Transit Costs</c:v>
                </c:pt>
                <c:pt idx="3">
                  <c:v>Parking Costs</c:v>
                </c:pt>
              </c:strCache>
            </c:strRef>
          </c:cat>
          <c:val>
            <c:numRef>
              <c:f>Difference!$M$27:$M$30</c:f>
              <c:numCache>
                <c:formatCode>0.0</c:formatCode>
                <c:ptCount val="4"/>
                <c:pt idx="0" formatCode="_(&quot;$&quot;* #,##0.00_);_(&quot;$&quot;* \(#,##0.00\);_(&quot;$&quot;* &quot;-&quot;??_);_(@_)">
                  <c:v>-1.5369561806658272E-2</c:v>
                </c:pt>
                <c:pt idx="1">
                  <c:v>-8.1502304504534884E-3</c:v>
                </c:pt>
                <c:pt idx="2" formatCode="_(&quot;$&quot;* #,##0.00_);_(&quot;$&quot;* \(#,##0.00\);_(&quot;$&quot;* &quot;-&quot;??_);_(@_)">
                  <c:v>4.2611542777904882E-2</c:v>
                </c:pt>
                <c:pt idx="3" formatCode="_(&quot;$&quot;* #,##0.00_);_(&quot;$&quot;* \(#,##0.00\);_(&quot;$&quot;* &quot;-&quot;??_);_(@_)">
                  <c:v>-1.4014219140825124E-2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0-4782-808E-55F05FABB891}"/>
            </c:ext>
          </c:extLst>
        </c:ser>
        <c:ser>
          <c:idx val="1"/>
          <c:order val="1"/>
          <c:tx>
            <c:strRef>
              <c:f>Difference!$N$26</c:f>
              <c:strCache>
                <c:ptCount val="1"/>
                <c:pt idx="0">
                  <c:v>per Low Income Person</c:v>
                </c:pt>
              </c:strCache>
            </c:strRef>
          </c:tx>
          <c:invertIfNegative val="0"/>
          <c:cat>
            <c:strRef>
              <c:f>Difference!$L$27:$L$30</c:f>
              <c:strCache>
                <c:ptCount val="4"/>
                <c:pt idx="0">
                  <c:v>Toll and Auto Operating Cost </c:v>
                </c:pt>
                <c:pt idx="1">
                  <c:v>Autos Owned</c:v>
                </c:pt>
                <c:pt idx="2">
                  <c:v>Transit Costs</c:v>
                </c:pt>
                <c:pt idx="3">
                  <c:v>Parking Costs</c:v>
                </c:pt>
              </c:strCache>
            </c:strRef>
          </c:cat>
          <c:val>
            <c:numRef>
              <c:f>Difference!$N$27:$N$30</c:f>
              <c:numCache>
                <c:formatCode>0.0</c:formatCode>
                <c:ptCount val="4"/>
                <c:pt idx="0" formatCode="_(&quot;$&quot;* #,##0.00_);_(&quot;$&quot;* \(#,##0.00\);_(&quot;$&quot;* &quot;-&quot;??_);_(@_)">
                  <c:v>1.2460397135045653E-3</c:v>
                </c:pt>
                <c:pt idx="1">
                  <c:v>-1.4242604144917959E-2</c:v>
                </c:pt>
                <c:pt idx="2" formatCode="_(&quot;$&quot;* #,##0.00_);_(&quot;$&quot;* \(#,##0.00\);_(&quot;$&quot;* &quot;-&quot;??_);_(@_)">
                  <c:v>6.2749526443843212E-2</c:v>
                </c:pt>
                <c:pt idx="3" formatCode="_(&quot;$&quot;* #,##0.00_);_(&quot;$&quot;* \(#,##0.00\);_(&quot;$&quot;* &quot;-&quot;??_);_(@_)">
                  <c:v>-1.2460008071740358E-2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0-4782-808E-55F05FABB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418496"/>
        <c:axId val="83420672"/>
      </c:barChart>
      <c:catAx>
        <c:axId val="8341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Cost Category</a:t>
                </a:r>
              </a:p>
            </c:rich>
          </c:tx>
          <c:layout>
            <c:manualLayout>
              <c:xMode val="edge"/>
              <c:yMode val="edge"/>
              <c:x val="0.3664387576552931"/>
              <c:y val="0.8329166666666666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83420672"/>
        <c:crosses val="autoZero"/>
        <c:auto val="1"/>
        <c:lblAlgn val="ctr"/>
        <c:lblOffset val="100"/>
        <c:noMultiLvlLbl val="0"/>
      </c:catAx>
      <c:valAx>
        <c:axId val="83420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Differenc</a:t>
                </a:r>
                <a:r>
                  <a:rPr lang="en-US" sz="1400" baseline="0"/>
                  <a:t> e in </a:t>
                </a:r>
                <a:r>
                  <a:rPr lang="en-US" sz="1400"/>
                  <a:t>Daily Cost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83418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27222222222223"/>
          <c:y val="0.31200021872265965"/>
          <c:w val="0.22061111111111112"/>
          <c:h val="0.39428623505395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 in Number of Walkers and Bikers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5671084864391952"/>
          <c:y val="0.21332203266258384"/>
          <c:w val="0.50444181977252844"/>
          <c:h val="0.577156240886555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Difference!$B$32</c:f>
              <c:strCache>
                <c:ptCount val="1"/>
                <c:pt idx="0">
                  <c:v>Total Number of Walkers</c:v>
                </c:pt>
              </c:strCache>
            </c:strRef>
          </c:tx>
          <c:invertIfNegative val="0"/>
          <c:cat>
            <c:strRef>
              <c:f>Difference!$C$30:$D$30</c:f>
              <c:strCache>
                <c:ptCount val="2"/>
                <c:pt idx="0">
                  <c:v>Total</c:v>
                </c:pt>
                <c:pt idx="1">
                  <c:v>Low Income Total</c:v>
                </c:pt>
              </c:strCache>
            </c:strRef>
          </c:cat>
          <c:val>
            <c:numRef>
              <c:f>Difference!$C$32:$D$32</c:f>
              <c:numCache>
                <c:formatCode>_(* #,##0_);_(* \(#,##0\);_(* "-"??_);_(@_)</c:formatCode>
                <c:ptCount val="2"/>
                <c:pt idx="0">
                  <c:v>57301</c:v>
                </c:pt>
                <c:pt idx="1">
                  <c:v>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C-4DD0-951B-F2DE615AEF16}"/>
            </c:ext>
          </c:extLst>
        </c:ser>
        <c:ser>
          <c:idx val="1"/>
          <c:order val="1"/>
          <c:tx>
            <c:strRef>
              <c:f>Difference!$B$34</c:f>
              <c:strCache>
                <c:ptCount val="1"/>
                <c:pt idx="0">
                  <c:v>Total Number of Bikers</c:v>
                </c:pt>
              </c:strCache>
            </c:strRef>
          </c:tx>
          <c:invertIfNegative val="0"/>
          <c:cat>
            <c:strRef>
              <c:f>Difference!$C$30:$D$30</c:f>
              <c:strCache>
                <c:ptCount val="2"/>
                <c:pt idx="0">
                  <c:v>Total</c:v>
                </c:pt>
                <c:pt idx="1">
                  <c:v>Low Income Total</c:v>
                </c:pt>
              </c:strCache>
            </c:strRef>
          </c:cat>
          <c:val>
            <c:numRef>
              <c:f>Difference!$C$34:$D$34</c:f>
              <c:numCache>
                <c:formatCode>_(* #,##0_);_(* \(#,##0\);_(* "-"??_);_(@_)</c:formatCode>
                <c:ptCount val="2"/>
                <c:pt idx="0">
                  <c:v>17001</c:v>
                </c:pt>
                <c:pt idx="1">
                  <c:v>3851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C-4DD0-951B-F2DE615AE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06560"/>
        <c:axId val="84321024"/>
      </c:barChart>
      <c:catAx>
        <c:axId val="8430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Cost Category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4321024"/>
        <c:crosses val="autoZero"/>
        <c:auto val="1"/>
        <c:lblAlgn val="ctr"/>
        <c:lblOffset val="100"/>
        <c:noMultiLvlLbl val="0"/>
      </c:catAx>
      <c:valAx>
        <c:axId val="84321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Differenc e in Walkers and Bikers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84306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11526684164478"/>
          <c:y val="0.27039151356080487"/>
          <c:w val="0.2221806649168854"/>
          <c:h val="0.385026975794692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 in Average Time Spent Walking and Biking per Walker/Biker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198862642169728"/>
          <c:y val="0.29653944298629337"/>
          <c:w val="0.57856692913385832"/>
          <c:h val="0.44764253426655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Difference!$B$31</c:f>
              <c:strCache>
                <c:ptCount val="1"/>
                <c:pt idx="0">
                  <c:v>Average Walking Time per Walker (minutes)</c:v>
                </c:pt>
              </c:strCache>
            </c:strRef>
          </c:tx>
          <c:invertIfNegative val="0"/>
          <c:cat>
            <c:strRef>
              <c:f>Difference!$C$30:$D$30</c:f>
              <c:strCache>
                <c:ptCount val="2"/>
                <c:pt idx="0">
                  <c:v>Total</c:v>
                </c:pt>
                <c:pt idx="1">
                  <c:v>Low Income Total</c:v>
                </c:pt>
              </c:strCache>
            </c:strRef>
          </c:cat>
          <c:val>
            <c:numRef>
              <c:f>Difference!$C$31:$D$31</c:f>
              <c:numCache>
                <c:formatCode>0</c:formatCode>
                <c:ptCount val="2"/>
                <c:pt idx="0" formatCode="0.0">
                  <c:v>-0.82978425659695176</c:v>
                </c:pt>
                <c:pt idx="1">
                  <c:v>-1.1743256935429969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6-4CD2-9584-13D002569C90}"/>
            </c:ext>
          </c:extLst>
        </c:ser>
        <c:ser>
          <c:idx val="1"/>
          <c:order val="1"/>
          <c:tx>
            <c:strRef>
              <c:f>Difference!$B$33</c:f>
              <c:strCache>
                <c:ptCount val="1"/>
                <c:pt idx="0">
                  <c:v>Average Biking Time per Biker</c:v>
                </c:pt>
              </c:strCache>
            </c:strRef>
          </c:tx>
          <c:invertIfNegative val="0"/>
          <c:cat>
            <c:strRef>
              <c:f>Difference!$C$30:$D$30</c:f>
              <c:strCache>
                <c:ptCount val="2"/>
                <c:pt idx="0">
                  <c:v>Total</c:v>
                </c:pt>
                <c:pt idx="1">
                  <c:v>Low Income Total</c:v>
                </c:pt>
              </c:strCache>
            </c:strRef>
          </c:cat>
          <c:val>
            <c:numRef>
              <c:f>Difference!$C$33:$D$33</c:f>
              <c:numCache>
                <c:formatCode>0</c:formatCode>
                <c:ptCount val="2"/>
                <c:pt idx="0" formatCode="0.0">
                  <c:v>2.6621521045594463</c:v>
                </c:pt>
                <c:pt idx="1">
                  <c:v>2.8627091715965349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6-4CD2-9584-13D002569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38560"/>
        <c:axId val="84094976"/>
      </c:barChart>
      <c:catAx>
        <c:axId val="8433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Household</a:t>
                </a:r>
                <a:r>
                  <a:rPr lang="en-US" sz="1400" baseline="0"/>
                  <a:t> Group</a:t>
                </a:r>
                <a:endParaRPr lang="en-US" sz="1400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4094976"/>
        <c:crosses val="autoZero"/>
        <c:auto val="1"/>
        <c:lblAlgn val="ctr"/>
        <c:lblOffset val="100"/>
        <c:noMultiLvlLbl val="0"/>
      </c:catAx>
      <c:valAx>
        <c:axId val="84094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Differenc ein Time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9653944298629337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84338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555555555555554"/>
          <c:y val="0.28383858267716533"/>
          <c:w val="0.22777777777777777"/>
          <c:h val="0.478387284922717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 in Air Quality Cost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Difference!$B$44</c:f>
              <c:strCache>
                <c:ptCount val="1"/>
                <c:pt idx="0">
                  <c:v>CO2 Tons</c:v>
                </c:pt>
              </c:strCache>
            </c:strRef>
          </c:tx>
          <c:invertIfNegative val="0"/>
          <c:cat>
            <c:strRef>
              <c:f>Difference!$E$43</c:f>
              <c:strCache>
                <c:ptCount val="1"/>
                <c:pt idx="0">
                  <c:v>Cost Equivalent</c:v>
                </c:pt>
              </c:strCache>
            </c:strRef>
          </c:cat>
          <c:val>
            <c:numRef>
              <c:f>Difference!$E$44</c:f>
              <c:numCache>
                <c:formatCode>_("$"* #,##0_);_("$"* \(#,##0\);_("$"* "-"??_);_(@_)</c:formatCode>
                <c:ptCount val="1"/>
                <c:pt idx="0">
                  <c:v>-322757.88270262763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D-4625-9033-677DB9C6BE00}"/>
            </c:ext>
          </c:extLst>
        </c:ser>
        <c:ser>
          <c:idx val="1"/>
          <c:order val="1"/>
          <c:tx>
            <c:strRef>
              <c:f>Difference!$B$45</c:f>
              <c:strCache>
                <c:ptCount val="1"/>
                <c:pt idx="0">
                  <c:v>CO Tons</c:v>
                </c:pt>
              </c:strCache>
            </c:strRef>
          </c:tx>
          <c:invertIfNegative val="0"/>
          <c:cat>
            <c:strRef>
              <c:f>Difference!$E$43</c:f>
              <c:strCache>
                <c:ptCount val="1"/>
                <c:pt idx="0">
                  <c:v>Cost Equivalent</c:v>
                </c:pt>
              </c:strCache>
            </c:strRef>
          </c:cat>
          <c:val>
            <c:numRef>
              <c:f>Difference!$E$45</c:f>
              <c:numCache>
                <c:formatCode>_("$"* #,##0_);_("$"* \(#,##0\);_("$"* "-"??_);_(@_)</c:formatCode>
                <c:ptCount val="1"/>
                <c:pt idx="0">
                  <c:v>4400.3507056645549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D-4625-9033-677DB9C6BE00}"/>
            </c:ext>
          </c:extLst>
        </c:ser>
        <c:ser>
          <c:idx val="2"/>
          <c:order val="2"/>
          <c:tx>
            <c:strRef>
              <c:f>Difference!$B$46</c:f>
              <c:strCache>
                <c:ptCount val="1"/>
                <c:pt idx="0">
                  <c:v>NO Tons</c:v>
                </c:pt>
              </c:strCache>
            </c:strRef>
          </c:tx>
          <c:invertIfNegative val="0"/>
          <c:cat>
            <c:strRef>
              <c:f>Difference!$E$43</c:f>
              <c:strCache>
                <c:ptCount val="1"/>
                <c:pt idx="0">
                  <c:v>Cost Equivalent</c:v>
                </c:pt>
              </c:strCache>
            </c:strRef>
          </c:cat>
          <c:val>
            <c:numRef>
              <c:f>Difference!$E$46</c:f>
              <c:numCache>
                <c:formatCode>_("$"* #,##0_);_("$"* \(#,##0\);_("$"* "-"??_);_(@_)</c:formatCode>
                <c:ptCount val="1"/>
                <c:pt idx="0">
                  <c:v>-5797.0803705991539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D-4625-9033-677DB9C6BE00}"/>
            </c:ext>
          </c:extLst>
        </c:ser>
        <c:ser>
          <c:idx val="3"/>
          <c:order val="3"/>
          <c:tx>
            <c:strRef>
              <c:f>Difference!$B$47</c:f>
              <c:strCache>
                <c:ptCount val="1"/>
                <c:pt idx="0">
                  <c:v>PM Tons</c:v>
                </c:pt>
              </c:strCache>
            </c:strRef>
          </c:tx>
          <c:invertIfNegative val="0"/>
          <c:cat>
            <c:strRef>
              <c:f>Difference!$E$43</c:f>
              <c:strCache>
                <c:ptCount val="1"/>
                <c:pt idx="0">
                  <c:v>Cost Equivalent</c:v>
                </c:pt>
              </c:strCache>
            </c:strRef>
          </c:cat>
          <c:val>
            <c:numRef>
              <c:f>Difference!$E$47</c:f>
              <c:numCache>
                <c:formatCode>_("$"* #,##0_);_("$"* \(#,##0\);_("$"* "-"??_);_(@_)</c:formatCode>
                <c:ptCount val="1"/>
                <c:pt idx="0">
                  <c:v>-753.60684005426583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2D-4625-9033-677DB9C6BE00}"/>
            </c:ext>
          </c:extLst>
        </c:ser>
        <c:ser>
          <c:idx val="4"/>
          <c:order val="4"/>
          <c:tx>
            <c:strRef>
              <c:f>Difference!$B$48</c:f>
              <c:strCache>
                <c:ptCount val="1"/>
                <c:pt idx="0">
                  <c:v>VOC Tons</c:v>
                </c:pt>
              </c:strCache>
            </c:strRef>
          </c:tx>
          <c:invertIfNegative val="0"/>
          <c:cat>
            <c:strRef>
              <c:f>Difference!$E$43</c:f>
              <c:strCache>
                <c:ptCount val="1"/>
                <c:pt idx="0">
                  <c:v>Cost Equivalent</c:v>
                </c:pt>
              </c:strCache>
            </c:strRef>
          </c:cat>
          <c:val>
            <c:numRef>
              <c:f>Difference!$E$48</c:f>
              <c:numCache>
                <c:formatCode>_("$"* #,##0_);_("$"* \(#,##0\);_("$"* "-"??_);_(@_)</c:formatCode>
                <c:ptCount val="1"/>
                <c:pt idx="0">
                  <c:v>-6730.6011178230492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2D-4625-9033-677DB9C6B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32992"/>
        <c:axId val="84134912"/>
      </c:barChart>
      <c:catAx>
        <c:axId val="8413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Cost Category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4134912"/>
        <c:crosses val="autoZero"/>
        <c:auto val="1"/>
        <c:lblAlgn val="ctr"/>
        <c:lblOffset val="100"/>
        <c:noMultiLvlLbl val="0"/>
      </c:catAx>
      <c:valAx>
        <c:axId val="84134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Difference</a:t>
                </a:r>
                <a:r>
                  <a:rPr lang="en-US" sz="1400" baseline="0"/>
                  <a:t> in Cost</a:t>
                </a:r>
                <a:endParaRPr lang="en-US" sz="1400"/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84132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726487314085739"/>
          <c:y val="0.20037146398366876"/>
          <c:w val="0.15606846019247594"/>
          <c:h val="0.4185859580052493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 in</a:t>
            </a:r>
          </a:p>
          <a:p>
            <a:pPr>
              <a:defRPr/>
            </a:pPr>
            <a:r>
              <a:rPr lang="en-US"/>
              <a:t>Percent of the Population </a:t>
            </a:r>
          </a:p>
          <a:p>
            <a:pPr>
              <a:defRPr/>
            </a:pPr>
            <a:r>
              <a:rPr lang="en-US"/>
              <a:t>Using Each Mode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83611111111111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686351706036747"/>
          <c:y val="0.32871536891221931"/>
          <c:w val="0.59271959755030623"/>
          <c:h val="0.39231846019247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Difference!$G$14</c:f>
              <c:strCache>
                <c:ptCount val="1"/>
                <c:pt idx="0">
                  <c:v>Percent of Population Using Mode</c:v>
                </c:pt>
              </c:strCache>
            </c:strRef>
          </c:tx>
          <c:invertIfNegative val="0"/>
          <c:cat>
            <c:strRef>
              <c:f>Difference!$B$15:$B$20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Difference!$G$15:$G$20</c:f>
              <c:numCache>
                <c:formatCode>0%</c:formatCode>
                <c:ptCount val="6"/>
                <c:pt idx="0">
                  <c:v>-6.328544887358567E-3</c:v>
                </c:pt>
                <c:pt idx="1">
                  <c:v>4.5121558904803738E-4</c:v>
                </c:pt>
                <c:pt idx="2">
                  <c:v>6.5534191683844223E-4</c:v>
                </c:pt>
                <c:pt idx="3">
                  <c:v>0</c:v>
                </c:pt>
                <c:pt idx="4">
                  <c:v>1.2008873417575561E-2</c:v>
                </c:pt>
                <c:pt idx="5">
                  <c:v>3.5629894237832263E-3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E-4317-A4E6-B43B6F19AF2B}"/>
            </c:ext>
          </c:extLst>
        </c:ser>
        <c:ser>
          <c:idx val="1"/>
          <c:order val="1"/>
          <c:tx>
            <c:strRef>
              <c:f>Difference!$H$14</c:f>
              <c:strCache>
                <c:ptCount val="1"/>
                <c:pt idx="0">
                  <c:v>Percent of Low Income Population Using Mode</c:v>
                </c:pt>
              </c:strCache>
            </c:strRef>
          </c:tx>
          <c:invertIfNegative val="0"/>
          <c:cat>
            <c:strRef>
              <c:f>Difference!$B$15:$B$20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Difference!$H$15:$H$20</c:f>
              <c:numCache>
                <c:formatCode>0%</c:formatCode>
                <c:ptCount val="6"/>
                <c:pt idx="0">
                  <c:v>-1.0304808202721227E-2</c:v>
                </c:pt>
                <c:pt idx="1">
                  <c:v>-2.0864414829715461E-3</c:v>
                </c:pt>
                <c:pt idx="2">
                  <c:v>-4.5595507501466903E-4</c:v>
                </c:pt>
                <c:pt idx="3">
                  <c:v>-0.24643813036068507</c:v>
                </c:pt>
                <c:pt idx="4">
                  <c:v>1.0060067610985379E-2</c:v>
                </c:pt>
                <c:pt idx="5">
                  <c:v>4.3036347889252105E-3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9E-4317-A4E6-B43B6F19A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73184"/>
        <c:axId val="84175104"/>
      </c:barChart>
      <c:catAx>
        <c:axId val="8417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Mode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4175104"/>
        <c:crosses val="autoZero"/>
        <c:auto val="1"/>
        <c:lblAlgn val="ctr"/>
        <c:lblOffset val="100"/>
        <c:noMultiLvlLbl val="0"/>
      </c:catAx>
      <c:valAx>
        <c:axId val="84175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Diffrence in Population Share</a:t>
                </a:r>
              </a:p>
            </c:rich>
          </c:tx>
          <c:layout>
            <c:manualLayout>
              <c:xMode val="edge"/>
              <c:yMode val="edge"/>
              <c:x val="1.6776027996500452E-3"/>
              <c:y val="0.1910414843977836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84173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458311461067362"/>
          <c:y val="0.33464895013123358"/>
          <c:w val="0.22875021872265969"/>
          <c:h val="0.529313210848643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</a:t>
            </a:r>
            <a:r>
              <a:rPr lang="en-US" baseline="0"/>
              <a:t> in </a:t>
            </a:r>
            <a:r>
              <a:rPr lang="en-US"/>
              <a:t>Average Minutes per Day spent in each mode </a:t>
            </a:r>
          </a:p>
        </c:rich>
      </c:tx>
      <c:layout>
        <c:manualLayout>
          <c:xMode val="edge"/>
          <c:yMode val="edge"/>
          <c:x val="0.1367915573053368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23623869932925046"/>
          <c:w val="0.59277559055118112"/>
          <c:h val="0.549609944590259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Difference!$O$17</c:f>
              <c:strCache>
                <c:ptCount val="1"/>
                <c:pt idx="0">
                  <c:v>minutes per Mode User</c:v>
                </c:pt>
              </c:strCache>
            </c:strRef>
          </c:tx>
          <c:invertIfNegative val="0"/>
          <c:cat>
            <c:strRef>
              <c:f>Difference!$L$18:$L$23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Difference!$O$18:$O$23</c:f>
              <c:numCache>
                <c:formatCode>0</c:formatCode>
                <c:ptCount val="6"/>
                <c:pt idx="0">
                  <c:v>-3.0415985208930536</c:v>
                </c:pt>
                <c:pt idx="1">
                  <c:v>-0.78871744665866572</c:v>
                </c:pt>
                <c:pt idx="2">
                  <c:v>-0.50517612349678132</c:v>
                </c:pt>
                <c:pt idx="3">
                  <c:v>6.6942785316643523</c:v>
                </c:pt>
                <c:pt idx="4">
                  <c:v>-0.82978425659695176</c:v>
                </c:pt>
                <c:pt idx="5">
                  <c:v>2.6621521045594463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6-4B8C-A3D0-F812E29C478B}"/>
            </c:ext>
          </c:extLst>
        </c:ser>
        <c:ser>
          <c:idx val="1"/>
          <c:order val="1"/>
          <c:tx>
            <c:strRef>
              <c:f>Difference!$P$17</c:f>
              <c:strCache>
                <c:ptCount val="1"/>
                <c:pt idx="0">
                  <c:v>minutes per Low Income Mode User</c:v>
                </c:pt>
              </c:strCache>
            </c:strRef>
          </c:tx>
          <c:invertIfNegative val="0"/>
          <c:cat>
            <c:strRef>
              <c:f>Difference!$L$18:$L$23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Difference!$P$18:$P$23</c:f>
              <c:numCache>
                <c:formatCode>0</c:formatCode>
                <c:ptCount val="6"/>
                <c:pt idx="0">
                  <c:v>-1.5108430184347839</c:v>
                </c:pt>
                <c:pt idx="1">
                  <c:v>-0.65286763014844951</c:v>
                </c:pt>
                <c:pt idx="2">
                  <c:v>-0.44729619457059044</c:v>
                </c:pt>
                <c:pt idx="3">
                  <c:v>61.568951828883421</c:v>
                </c:pt>
                <c:pt idx="4">
                  <c:v>-1.1743256935429969</c:v>
                </c:pt>
                <c:pt idx="5">
                  <c:v>2.8627091715965349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6-4B8C-A3D0-F812E29C4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211584"/>
        <c:axId val="84213760"/>
      </c:barChart>
      <c:catAx>
        <c:axId val="8421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Mode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4213760"/>
        <c:crosses val="autoZero"/>
        <c:auto val="1"/>
        <c:lblAlgn val="ctr"/>
        <c:lblOffset val="100"/>
        <c:noMultiLvlLbl val="0"/>
      </c:catAx>
      <c:valAx>
        <c:axId val="84213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Difference in Time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4211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97244094488194"/>
          <c:y val="0.34859580052493438"/>
          <c:w val="0.21502755905511811"/>
          <c:h val="0.3487576552930883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</a:t>
            </a:r>
            <a:r>
              <a:rPr lang="en-US" baseline="0"/>
              <a:t> in </a:t>
            </a:r>
          </a:p>
          <a:p>
            <a:pPr>
              <a:defRPr/>
            </a:pPr>
            <a:r>
              <a:rPr lang="en-US"/>
              <a:t>Average Daily Cost per Person</a:t>
            </a:r>
          </a:p>
        </c:rich>
      </c:tx>
      <c:layout>
        <c:manualLayout>
          <c:xMode val="edge"/>
          <c:yMode val="edge"/>
          <c:x val="0.19079855643044616"/>
          <c:y val="4.62962962962962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461351706036745"/>
          <c:y val="0.2502143482064742"/>
          <c:w val="0.76038648293963262"/>
          <c:h val="0.331642242636337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Difference!$O$3</c:f>
              <c:strCache>
                <c:ptCount val="1"/>
                <c:pt idx="0">
                  <c:v>Value per Person</c:v>
                </c:pt>
              </c:strCache>
            </c:strRef>
          </c:tx>
          <c:invertIfNegative val="0"/>
          <c:cat>
            <c:strRef>
              <c:f>Difference!$L$4:$L$14</c:f>
              <c:strCache>
                <c:ptCount val="11"/>
                <c:pt idx="0">
                  <c:v>Household Travel Time</c:v>
                </c:pt>
                <c:pt idx="1">
                  <c:v>Household Auto Operating and Tolls</c:v>
                </c:pt>
                <c:pt idx="2">
                  <c:v>Auto Ownership</c:v>
                </c:pt>
                <c:pt idx="3">
                  <c:v>Truck Travel Time</c:v>
                </c:pt>
                <c:pt idx="4">
                  <c:v>Truck Tolls</c:v>
                </c:pt>
                <c:pt idx="5">
                  <c:v>Truck Operating Costs</c:v>
                </c:pt>
                <c:pt idx="6">
                  <c:v>Transit Fares</c:v>
                </c:pt>
                <c:pt idx="7">
                  <c:v>Parking</c:v>
                </c:pt>
                <c:pt idx="8">
                  <c:v>Health</c:v>
                </c:pt>
                <c:pt idx="9">
                  <c:v>Safety</c:v>
                </c:pt>
                <c:pt idx="10">
                  <c:v>Air Quality</c:v>
                </c:pt>
              </c:strCache>
            </c:strRef>
          </c:cat>
          <c:val>
            <c:numRef>
              <c:f>Difference!$O$4:$O$14</c:f>
              <c:numCache>
                <c:formatCode>_("$"* #,##0.00_);_("$"* \(#,##0.00\);_("$"* "-"??_);_(@_)</c:formatCode>
                <c:ptCount val="11"/>
                <c:pt idx="0">
                  <c:v>-0.21549288575000247</c:v>
                </c:pt>
                <c:pt idx="1">
                  <c:v>-1.5369561806658272E-2</c:v>
                </c:pt>
                <c:pt idx="2">
                  <c:v>-0.17115483945952548</c:v>
                </c:pt>
                <c:pt idx="3">
                  <c:v>4.2611542777904882E-2</c:v>
                </c:pt>
                <c:pt idx="4">
                  <c:v>-1.4014219140825124E-2</c:v>
                </c:pt>
                <c:pt idx="5">
                  <c:v>0</c:v>
                </c:pt>
                <c:pt idx="6">
                  <c:v>4.2611542777904882E-2</c:v>
                </c:pt>
                <c:pt idx="7">
                  <c:v>-1.4014219140825124E-2</c:v>
                </c:pt>
                <c:pt idx="8">
                  <c:v>0</c:v>
                </c:pt>
                <c:pt idx="9">
                  <c:v>1.8440217382476476E-2</c:v>
                </c:pt>
                <c:pt idx="10">
                  <c:v>-6.9503300355007736E-2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5-4D19-8239-E5EAF6A99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251008"/>
        <c:axId val="84252928"/>
      </c:barChart>
      <c:catAx>
        <c:axId val="8425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en-US" sz="1400" b="1"/>
                  <a:t>Cost Category</a:t>
                </a:r>
              </a:p>
            </c:rich>
          </c:tx>
          <c:layout>
            <c:manualLayout>
              <c:xMode val="edge"/>
              <c:yMode val="edge"/>
              <c:x val="0.38984142607174099"/>
              <c:y val="0.8627314814814814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84252928"/>
        <c:crosses val="autoZero"/>
        <c:auto val="1"/>
        <c:lblAlgn val="ctr"/>
        <c:lblOffset val="100"/>
        <c:noMultiLvlLbl val="0"/>
      </c:catAx>
      <c:valAx>
        <c:axId val="84252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Difference in Daily Cost</a:t>
                </a:r>
              </a:p>
            </c:rich>
          </c:tx>
          <c:layout>
            <c:manualLayout>
              <c:xMode val="edge"/>
              <c:yMode val="edge"/>
              <c:x val="0"/>
              <c:y val="0.12058471857684457"/>
            </c:manualLayout>
          </c:layout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84251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1</xdr:row>
      <xdr:rowOff>104775</xdr:rowOff>
    </xdr:from>
    <xdr:to>
      <xdr:col>14</xdr:col>
      <xdr:colOff>180975</xdr:colOff>
      <xdr:row>39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64A11D-3C01-4DAF-89EA-A7FEB9A34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</xdr:colOff>
      <xdr:row>1</xdr:row>
      <xdr:rowOff>95250</xdr:rowOff>
    </xdr:from>
    <xdr:to>
      <xdr:col>28</xdr:col>
      <xdr:colOff>238126</xdr:colOff>
      <xdr:row>39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B0C037-6534-4D39-AA97-EBCCD8FC8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66675</xdr:rowOff>
    </xdr:from>
    <xdr:to>
      <xdr:col>17</xdr:col>
      <xdr:colOff>304800</xdr:colOff>
      <xdr:row>16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390525</xdr:colOff>
      <xdr:row>19</xdr:row>
      <xdr:rowOff>0</xdr:rowOff>
    </xdr:from>
    <xdr:to>
      <xdr:col>27</xdr:col>
      <xdr:colOff>85725</xdr:colOff>
      <xdr:row>33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542925</xdr:colOff>
      <xdr:row>37</xdr:row>
      <xdr:rowOff>0</xdr:rowOff>
    </xdr:from>
    <xdr:to>
      <xdr:col>8</xdr:col>
      <xdr:colOff>238125</xdr:colOff>
      <xdr:row>51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</xdr:colOff>
      <xdr:row>36</xdr:row>
      <xdr:rowOff>180975</xdr:rowOff>
    </xdr:from>
    <xdr:to>
      <xdr:col>17</xdr:col>
      <xdr:colOff>323850</xdr:colOff>
      <xdr:row>51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381000</xdr:colOff>
      <xdr:row>36</xdr:row>
      <xdr:rowOff>123825</xdr:rowOff>
    </xdr:from>
    <xdr:to>
      <xdr:col>27</xdr:col>
      <xdr:colOff>76200</xdr:colOff>
      <xdr:row>51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571500</xdr:colOff>
      <xdr:row>19</xdr:row>
      <xdr:rowOff>47625</xdr:rowOff>
    </xdr:from>
    <xdr:to>
      <xdr:col>8</xdr:col>
      <xdr:colOff>266700</xdr:colOff>
      <xdr:row>33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581024</xdr:colOff>
      <xdr:row>2</xdr:row>
      <xdr:rowOff>152400</xdr:rowOff>
    </xdr:from>
    <xdr:to>
      <xdr:col>8</xdr:col>
      <xdr:colOff>276224</xdr:colOff>
      <xdr:row>17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19</xdr:row>
      <xdr:rowOff>47625</xdr:rowOff>
    </xdr:from>
    <xdr:to>
      <xdr:col>17</xdr:col>
      <xdr:colOff>314325</xdr:colOff>
      <xdr:row>33</xdr:row>
      <xdr:rowOff>123825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400050</xdr:colOff>
      <xdr:row>2</xdr:row>
      <xdr:rowOff>38100</xdr:rowOff>
    </xdr:from>
    <xdr:to>
      <xdr:col>27</xdr:col>
      <xdr:colOff>95250</xdr:colOff>
      <xdr:row>16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47626</xdr:colOff>
      <xdr:row>2</xdr:row>
      <xdr:rowOff>19051</xdr:rowOff>
    </xdr:from>
    <xdr:to>
      <xdr:col>9</xdr:col>
      <xdr:colOff>228601</xdr:colOff>
      <xdr:row>11</xdr:row>
      <xdr:rowOff>4764</xdr:rowOff>
    </xdr:to>
    <xdr:pic>
      <xdr:nvPicPr>
        <xdr:cNvPr id="5" name="Picture 4" descr="http://blog.recursiveprocess.com/wp-content/uploads/2013/09/cat_with_calculator-600x450.jp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7776" y="438151"/>
          <a:ext cx="2381250" cy="1785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47626</xdr:colOff>
      <xdr:row>2</xdr:row>
      <xdr:rowOff>19051</xdr:rowOff>
    </xdr:from>
    <xdr:to>
      <xdr:col>9</xdr:col>
      <xdr:colOff>228601</xdr:colOff>
      <xdr:row>11</xdr:row>
      <xdr:rowOff>4764</xdr:rowOff>
    </xdr:to>
    <xdr:pic>
      <xdr:nvPicPr>
        <xdr:cNvPr id="2" name="Picture 1" descr="http://blog.recursiveprocess.com/wp-content/uploads/2013/09/cat_with_calculator-600x450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6" y="619126"/>
          <a:ext cx="2381250" cy="1785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47626</xdr:colOff>
      <xdr:row>2</xdr:row>
      <xdr:rowOff>19051</xdr:rowOff>
    </xdr:from>
    <xdr:to>
      <xdr:col>9</xdr:col>
      <xdr:colOff>228601</xdr:colOff>
      <xdr:row>10</xdr:row>
      <xdr:rowOff>100014</xdr:rowOff>
    </xdr:to>
    <xdr:pic>
      <xdr:nvPicPr>
        <xdr:cNvPr id="2" name="Picture 1" descr="http://blog.recursiveprocess.com/wp-content/uploads/2013/09/cat_with_calculator-600x450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6" y="619126"/>
          <a:ext cx="2381250" cy="1785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2</xdr:row>
      <xdr:rowOff>114300</xdr:rowOff>
    </xdr:from>
    <xdr:to>
      <xdr:col>13</xdr:col>
      <xdr:colOff>333375</xdr:colOff>
      <xdr:row>30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685800"/>
          <a:ext cx="8143875" cy="529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27</xdr:row>
      <xdr:rowOff>133350</xdr:rowOff>
    </xdr:from>
    <xdr:to>
      <xdr:col>16</xdr:col>
      <xdr:colOff>31021</xdr:colOff>
      <xdr:row>61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6800850"/>
          <a:ext cx="9784620" cy="6429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9525</xdr:rowOff>
    </xdr:from>
    <xdr:to>
      <xdr:col>8</xdr:col>
      <xdr:colOff>304800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57150</xdr:rowOff>
    </xdr:from>
    <xdr:to>
      <xdr:col>8</xdr:col>
      <xdr:colOff>304800</xdr:colOff>
      <xdr:row>33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9524</xdr:colOff>
      <xdr:row>2</xdr:row>
      <xdr:rowOff>19050</xdr:rowOff>
    </xdr:from>
    <xdr:to>
      <xdr:col>17</xdr:col>
      <xdr:colOff>314324</xdr:colOff>
      <xdr:row>16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19</xdr:row>
      <xdr:rowOff>57150</xdr:rowOff>
    </xdr:from>
    <xdr:to>
      <xdr:col>17</xdr:col>
      <xdr:colOff>314325</xdr:colOff>
      <xdr:row>33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47625</xdr:rowOff>
    </xdr:from>
    <xdr:to>
      <xdr:col>8</xdr:col>
      <xdr:colOff>304800</xdr:colOff>
      <xdr:row>33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9524</xdr:colOff>
      <xdr:row>2</xdr:row>
      <xdr:rowOff>9525</xdr:rowOff>
    </xdr:from>
    <xdr:to>
      <xdr:col>17</xdr:col>
      <xdr:colOff>314324</xdr:colOff>
      <xdr:row>16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19</xdr:row>
      <xdr:rowOff>47625</xdr:rowOff>
    </xdr:from>
    <xdr:to>
      <xdr:col>17</xdr:col>
      <xdr:colOff>314325</xdr:colOff>
      <xdr:row>33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Q5" sqref="Q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W28" sqref="W28"/>
    </sheetView>
  </sheetViews>
  <sheetFormatPr defaultRowHeight="15" x14ac:dyDescent="0.25"/>
  <cols>
    <col min="1" max="16384" width="9.140625" style="15"/>
  </cols>
  <sheetData>
    <row r="1" spans="1:13" s="7" customFormat="1" ht="26.25" thickBot="1" x14ac:dyDescent="0.4">
      <c r="A1" s="4" t="s">
        <v>127</v>
      </c>
      <c r="B1" s="5"/>
      <c r="C1" s="6"/>
      <c r="D1" s="6"/>
      <c r="E1" s="6"/>
      <c r="F1" s="6"/>
      <c r="G1" s="6"/>
      <c r="H1" s="6"/>
      <c r="I1" s="6"/>
      <c r="J1" s="6"/>
      <c r="K1" s="5"/>
      <c r="L1" s="6"/>
      <c r="M1" s="6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/>
  </sheetViews>
  <sheetFormatPr defaultRowHeight="15" x14ac:dyDescent="0.25"/>
  <cols>
    <col min="1" max="16384" width="9.140625" style="15"/>
  </cols>
  <sheetData>
    <row r="1" spans="1:13" s="7" customFormat="1" ht="26.25" thickBot="1" x14ac:dyDescent="0.4">
      <c r="A1" s="4" t="s">
        <v>127</v>
      </c>
      <c r="B1" s="5"/>
      <c r="C1" s="6"/>
      <c r="D1" s="6"/>
      <c r="E1" s="6"/>
      <c r="F1" s="6"/>
      <c r="G1" s="6"/>
      <c r="H1" s="6"/>
      <c r="I1" s="6"/>
      <c r="J1" s="6"/>
      <c r="K1" s="5"/>
      <c r="L1" s="6"/>
      <c r="M1" s="6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Z24" sqref="Z24"/>
    </sheetView>
  </sheetViews>
  <sheetFormatPr defaultRowHeight="15" x14ac:dyDescent="0.25"/>
  <cols>
    <col min="1" max="16384" width="9.140625" style="15"/>
  </cols>
  <sheetData>
    <row r="1" spans="1:13" s="7" customFormat="1" ht="26.25" thickBot="1" x14ac:dyDescent="0.4">
      <c r="A1" s="4" t="s">
        <v>125</v>
      </c>
      <c r="B1" s="5"/>
      <c r="C1" s="6"/>
      <c r="D1" s="6"/>
      <c r="E1" s="6"/>
      <c r="F1" s="6"/>
      <c r="G1" s="6"/>
      <c r="H1" s="6"/>
      <c r="I1" s="6"/>
      <c r="J1" s="6"/>
      <c r="K1" s="5"/>
      <c r="L1" s="6"/>
      <c r="M1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workbookViewId="0">
      <selection activeCell="L48" sqref="L48"/>
    </sheetView>
  </sheetViews>
  <sheetFormatPr defaultRowHeight="14.25" x14ac:dyDescent="0.2"/>
  <cols>
    <col min="1" max="1" width="3.7109375" style="10" customWidth="1"/>
    <col min="2" max="2" width="30.85546875" style="81" customWidth="1"/>
    <col min="3" max="3" width="15.140625" style="81" customWidth="1"/>
    <col min="4" max="4" width="15.85546875" style="81" bestFit="1" customWidth="1"/>
    <col min="5" max="5" width="11" style="81" customWidth="1"/>
    <col min="6" max="6" width="12.7109375" style="81" customWidth="1"/>
    <col min="7" max="9" width="11" style="81" customWidth="1"/>
    <col min="10" max="10" width="14.7109375" style="81" bestFit="1" customWidth="1"/>
    <col min="11" max="11" width="4" style="82" customWidth="1"/>
    <col min="12" max="12" width="34.140625" style="81" customWidth="1"/>
    <col min="13" max="13" width="13.140625" style="81" bestFit="1" customWidth="1"/>
    <col min="14" max="14" width="19.42578125" style="28" customWidth="1"/>
    <col min="15" max="15" width="17.5703125" style="28" customWidth="1"/>
    <col min="16" max="16" width="15.85546875" style="28" bestFit="1" customWidth="1"/>
    <col min="17" max="17" width="4.140625" style="10" customWidth="1"/>
    <col min="18" max="16384" width="9.140625" style="10"/>
  </cols>
  <sheetData>
    <row r="1" spans="1:16" s="7" customFormat="1" ht="26.25" thickBot="1" x14ac:dyDescent="0.4">
      <c r="A1" s="4" t="s">
        <v>21</v>
      </c>
      <c r="B1" s="5"/>
      <c r="C1" s="6"/>
      <c r="D1" s="6"/>
      <c r="E1" s="6"/>
      <c r="F1" s="6"/>
      <c r="G1" s="6"/>
      <c r="H1" s="6"/>
      <c r="I1" s="6"/>
      <c r="J1" s="6"/>
      <c r="K1" s="5"/>
      <c r="L1" s="6"/>
      <c r="M1" s="6"/>
    </row>
    <row r="2" spans="1:16" s="8" customFormat="1" ht="21" customHeight="1" thickBot="1" x14ac:dyDescent="0.3">
      <c r="B2" s="9" t="s">
        <v>104</v>
      </c>
      <c r="L2" s="3" t="s">
        <v>106</v>
      </c>
    </row>
    <row r="3" spans="1:16" ht="26.25" x14ac:dyDescent="0.25">
      <c r="B3" s="11" t="s">
        <v>102</v>
      </c>
      <c r="C3" s="12">
        <f>SUM(J17:J22,F26:F29,E40:E42,E46:E50)</f>
        <v>275713561.57415044</v>
      </c>
      <c r="D3" s="13"/>
      <c r="E3" s="10"/>
      <c r="F3" s="14" t="s">
        <v>82</v>
      </c>
      <c r="G3" s="15"/>
      <c r="H3" s="14"/>
      <c r="I3" s="14"/>
      <c r="J3" s="10"/>
      <c r="K3" s="16"/>
      <c r="L3" s="17" t="s">
        <v>93</v>
      </c>
      <c r="M3" s="18" t="s">
        <v>99</v>
      </c>
      <c r="N3" s="19" t="s">
        <v>100</v>
      </c>
      <c r="O3" s="10"/>
      <c r="P3" s="10"/>
    </row>
    <row r="4" spans="1:16" ht="15" x14ac:dyDescent="0.25">
      <c r="B4" s="20" t="s">
        <v>90</v>
      </c>
      <c r="C4" s="21">
        <f>C3/C9</f>
        <v>57.782748302000172</v>
      </c>
      <c r="D4" s="22"/>
      <c r="E4" s="14"/>
      <c r="F4" s="14" t="s">
        <v>81</v>
      </c>
      <c r="G4" s="15"/>
      <c r="H4" s="14"/>
      <c r="I4" s="14"/>
      <c r="J4" s="10"/>
      <c r="K4" s="16"/>
      <c r="L4" s="23" t="s">
        <v>164</v>
      </c>
      <c r="M4" s="24">
        <f>SUM(J17:J22)</f>
        <v>170932134.65622574</v>
      </c>
      <c r="N4" s="25">
        <f>M4/$C$9</f>
        <v>35.823150871408949</v>
      </c>
      <c r="O4" s="10"/>
      <c r="P4" s="10"/>
    </row>
    <row r="5" spans="1:16" x14ac:dyDescent="0.2">
      <c r="B5" s="20" t="s">
        <v>123</v>
      </c>
      <c r="C5" s="125" t="s">
        <v>180</v>
      </c>
      <c r="D5" s="27"/>
      <c r="E5" s="14"/>
      <c r="F5" s="28"/>
      <c r="G5" s="28"/>
      <c r="H5" s="14"/>
      <c r="I5" s="14"/>
      <c r="J5" s="10"/>
      <c r="K5" s="29"/>
      <c r="L5" s="23" t="s">
        <v>165</v>
      </c>
      <c r="M5" s="24">
        <f>F26</f>
        <v>14627384.13556144</v>
      </c>
      <c r="N5" s="25">
        <f t="shared" ref="N5:N14" si="0">M5/$C$9</f>
        <v>3.0655382020245896</v>
      </c>
      <c r="O5" s="10"/>
      <c r="P5" s="10"/>
    </row>
    <row r="6" spans="1:16" x14ac:dyDescent="0.2">
      <c r="B6" s="20"/>
      <c r="C6" s="125"/>
      <c r="D6" s="27"/>
      <c r="E6" s="14"/>
      <c r="F6" s="28"/>
      <c r="G6" s="28"/>
      <c r="H6" s="14"/>
      <c r="I6" s="14"/>
      <c r="J6" s="10"/>
      <c r="K6" s="29"/>
      <c r="L6" s="23" t="s">
        <v>167</v>
      </c>
      <c r="M6" s="24">
        <f>F54+F57</f>
        <v>12186748.834390301</v>
      </c>
      <c r="N6" s="25">
        <f>M6/$C$9</f>
        <v>2.5540413626983867</v>
      </c>
      <c r="O6" s="10"/>
      <c r="P6" s="10"/>
    </row>
    <row r="7" spans="1:16" x14ac:dyDescent="0.2">
      <c r="B7" s="20"/>
      <c r="C7" s="125"/>
      <c r="D7" s="27"/>
      <c r="E7" s="14"/>
      <c r="F7" s="28"/>
      <c r="G7" s="28"/>
      <c r="H7" s="14"/>
      <c r="I7" s="14"/>
      <c r="J7" s="10"/>
      <c r="K7" s="29"/>
      <c r="L7" s="23" t="s">
        <v>178</v>
      </c>
      <c r="M7" s="24">
        <f t="shared" ref="M7:M8" si="1">F55+F58</f>
        <v>7846865.2388669401</v>
      </c>
      <c r="N7" s="25">
        <f t="shared" ref="N7:N8" si="2">M7/$C$9</f>
        <v>1.6445090204067521</v>
      </c>
      <c r="O7" s="10"/>
      <c r="P7" s="10"/>
    </row>
    <row r="8" spans="1:16" x14ac:dyDescent="0.2">
      <c r="B8" s="20" t="s">
        <v>85</v>
      </c>
      <c r="C8" s="30">
        <f>SUM(M18:M23)</f>
        <v>85.975562091381491</v>
      </c>
      <c r="D8" s="31" t="s">
        <v>103</v>
      </c>
      <c r="E8" s="14"/>
      <c r="F8" s="10"/>
      <c r="G8" s="10"/>
      <c r="H8" s="14"/>
      <c r="I8" s="14"/>
      <c r="J8" s="10"/>
      <c r="K8" s="29"/>
      <c r="L8" s="23" t="s">
        <v>179</v>
      </c>
      <c r="M8" s="24">
        <f t="shared" si="1"/>
        <v>898026.12744299998</v>
      </c>
      <c r="N8" s="25">
        <f t="shared" si="2"/>
        <v>0.18820408178109652</v>
      </c>
      <c r="O8" s="10"/>
      <c r="P8" s="10"/>
    </row>
    <row r="9" spans="1:16" x14ac:dyDescent="0.2">
      <c r="B9" s="20" t="s">
        <v>15</v>
      </c>
      <c r="C9" s="32">
        <f>RawBaseline!C3</f>
        <v>4771555</v>
      </c>
      <c r="D9" s="31"/>
      <c r="E9" s="14"/>
      <c r="F9" s="14"/>
      <c r="G9" s="14"/>
      <c r="H9" s="14"/>
      <c r="I9" s="14"/>
      <c r="J9" s="10"/>
      <c r="K9" s="29"/>
      <c r="L9" s="23" t="s">
        <v>101</v>
      </c>
      <c r="M9" s="24">
        <f>F27</f>
        <v>75003062.846554294</v>
      </c>
      <c r="N9" s="25">
        <f t="shared" si="0"/>
        <v>15.718788287372627</v>
      </c>
      <c r="O9" s="10"/>
      <c r="P9" s="10"/>
    </row>
    <row r="10" spans="1:16" ht="15" thickBot="1" x14ac:dyDescent="0.25">
      <c r="A10" s="33"/>
      <c r="B10" s="34" t="s">
        <v>67</v>
      </c>
      <c r="C10" s="35">
        <f>RawBaseline!B3</f>
        <v>894825</v>
      </c>
      <c r="D10" s="36"/>
      <c r="E10" s="14"/>
      <c r="F10" s="14"/>
      <c r="G10" s="14"/>
      <c r="H10" s="14"/>
      <c r="I10" s="14"/>
      <c r="J10" s="14"/>
      <c r="K10" s="29"/>
      <c r="L10" s="23" t="s">
        <v>84</v>
      </c>
      <c r="M10" s="24">
        <f>F28</f>
        <v>677421.97600002005</v>
      </c>
      <c r="N10" s="25">
        <f t="shared" si="0"/>
        <v>0.14197090382485794</v>
      </c>
      <c r="O10" s="10"/>
      <c r="P10" s="10"/>
    </row>
    <row r="11" spans="1:16" x14ac:dyDescent="0.2">
      <c r="A11" s="33"/>
      <c r="B11" s="3"/>
      <c r="C11" s="37"/>
      <c r="D11" s="37"/>
      <c r="E11" s="26"/>
      <c r="F11" s="14"/>
      <c r="G11" s="14"/>
      <c r="H11" s="14"/>
      <c r="I11" s="14"/>
      <c r="J11" s="14"/>
      <c r="K11" s="29"/>
      <c r="L11" s="23" t="s">
        <v>94</v>
      </c>
      <c r="M11" s="24">
        <f>F29</f>
        <v>2760935.9240285601</v>
      </c>
      <c r="N11" s="25">
        <f t="shared" si="0"/>
        <v>0.57862393371313126</v>
      </c>
      <c r="P11" s="10"/>
    </row>
    <row r="12" spans="1:16" x14ac:dyDescent="0.2">
      <c r="A12" s="33"/>
      <c r="B12" s="10"/>
      <c r="C12" s="10"/>
      <c r="D12" s="10"/>
      <c r="E12" s="26"/>
      <c r="F12" s="14"/>
      <c r="G12" s="14"/>
      <c r="H12" s="14"/>
      <c r="I12" s="14"/>
      <c r="J12" s="14"/>
      <c r="K12" s="29"/>
      <c r="L12" s="23" t="s">
        <v>95</v>
      </c>
      <c r="M12" s="37" t="s">
        <v>124</v>
      </c>
      <c r="N12" s="25"/>
      <c r="P12" s="10"/>
    </row>
    <row r="13" spans="1:16" x14ac:dyDescent="0.2">
      <c r="A13" s="33"/>
      <c r="B13" s="10"/>
      <c r="C13" s="10"/>
      <c r="D13" s="10"/>
      <c r="E13" s="26"/>
      <c r="F13" s="14"/>
      <c r="G13" s="14"/>
      <c r="H13" s="14"/>
      <c r="I13" s="14"/>
      <c r="J13" s="14"/>
      <c r="K13" s="29"/>
      <c r="L13" s="23" t="s">
        <v>97</v>
      </c>
      <c r="M13" s="24">
        <f>SUM(E40:E42)</f>
        <v>7592837.380777183</v>
      </c>
      <c r="N13" s="25">
        <f t="shared" si="0"/>
        <v>1.5912710595973814</v>
      </c>
      <c r="P13" s="10"/>
    </row>
    <row r="14" spans="1:16" x14ac:dyDescent="0.2">
      <c r="A14" s="33"/>
      <c r="B14" s="10"/>
      <c r="C14" s="10"/>
      <c r="D14" s="10"/>
      <c r="E14" s="26"/>
      <c r="F14" s="14"/>
      <c r="G14" s="14"/>
      <c r="H14" s="14"/>
      <c r="I14" s="14"/>
      <c r="J14" s="14"/>
      <c r="K14" s="29"/>
      <c r="L14" s="38" t="s">
        <v>98</v>
      </c>
      <c r="M14" s="39">
        <f>SUM(E46:E50)</f>
        <v>4119784.6550031952</v>
      </c>
      <c r="N14" s="40">
        <f t="shared" si="0"/>
        <v>0.86340504405863394</v>
      </c>
      <c r="P14" s="10"/>
    </row>
    <row r="15" spans="1:16" s="33" customFormat="1" x14ac:dyDescent="0.2">
      <c r="B15" s="3" t="s">
        <v>105</v>
      </c>
      <c r="C15" s="37"/>
      <c r="D15" s="37"/>
      <c r="E15" s="26"/>
      <c r="F15" s="14"/>
      <c r="G15" s="14"/>
      <c r="H15" s="14"/>
      <c r="I15" s="14"/>
      <c r="J15" s="14"/>
      <c r="K15" s="29"/>
      <c r="L15" s="26"/>
      <c r="M15" s="24"/>
      <c r="N15" s="41"/>
      <c r="P15" s="26"/>
    </row>
    <row r="16" spans="1:16" ht="51" x14ac:dyDescent="0.2">
      <c r="B16" s="42" t="s">
        <v>86</v>
      </c>
      <c r="C16" s="43" t="s">
        <v>114</v>
      </c>
      <c r="D16" s="44" t="s">
        <v>115</v>
      </c>
      <c r="E16" s="44" t="s">
        <v>74</v>
      </c>
      <c r="F16" s="44" t="s">
        <v>80</v>
      </c>
      <c r="G16" s="44" t="s">
        <v>91</v>
      </c>
      <c r="H16" s="44" t="s">
        <v>92</v>
      </c>
      <c r="I16" s="45" t="s">
        <v>17</v>
      </c>
      <c r="J16" s="46" t="s">
        <v>16</v>
      </c>
      <c r="K16" s="47"/>
      <c r="L16" s="119" t="s">
        <v>107</v>
      </c>
      <c r="M16" s="171"/>
      <c r="N16" s="171"/>
      <c r="O16" s="166"/>
      <c r="P16" s="172"/>
    </row>
    <row r="17" spans="2:20" ht="25.5" x14ac:dyDescent="0.2">
      <c r="B17" s="48" t="s">
        <v>60</v>
      </c>
      <c r="C17" s="49">
        <f>SUMIF(RawBaseline!$A$23:$A$30,'Baseline Metrics'!$B17,RawBaseline!$D$23:$D$30)</f>
        <v>2574180.4397097998</v>
      </c>
      <c r="D17" s="49">
        <f>SUMIF(RawBaseline!$A$23:$A$30,'Baseline Metrics'!$B17,RawBaseline!$B$23:$B$30)</f>
        <v>376838.93484573998</v>
      </c>
      <c r="E17" s="49">
        <f>RawBaseline!E43</f>
        <v>2316215</v>
      </c>
      <c r="F17" s="49">
        <f>RawBaseline!E63</f>
        <v>376913</v>
      </c>
      <c r="G17" s="51">
        <f>E17/$C$9</f>
        <v>0.48542141922287391</v>
      </c>
      <c r="H17" s="51">
        <f>F17/$C$10</f>
        <v>0.42121420389461628</v>
      </c>
      <c r="I17" s="52">
        <v>25</v>
      </c>
      <c r="J17" s="53">
        <f t="shared" ref="J17:J22" si="3">C17*I17</f>
        <v>64354510.992744997</v>
      </c>
      <c r="K17" s="54"/>
      <c r="L17" s="42" t="s">
        <v>87</v>
      </c>
      <c r="M17" s="45" t="s">
        <v>116</v>
      </c>
      <c r="N17" s="45" t="s">
        <v>117</v>
      </c>
      <c r="O17" s="45" t="s">
        <v>118</v>
      </c>
      <c r="P17" s="46" t="s">
        <v>119</v>
      </c>
      <c r="R17" s="28">
        <v>60</v>
      </c>
      <c r="S17" s="28" t="s">
        <v>66</v>
      </c>
      <c r="T17" s="14"/>
    </row>
    <row r="18" spans="2:20" x14ac:dyDescent="0.2">
      <c r="B18" s="48" t="s">
        <v>58</v>
      </c>
      <c r="C18" s="49">
        <f>SUMIF(RawBaseline!$A$23:$A$30,'Baseline Metrics'!$B18,RawBaseline!$D$23:$D$30)</f>
        <v>1128192.4648624801</v>
      </c>
      <c r="D18" s="49">
        <f>SUMIF(RawBaseline!$A$23:$A$30,'Baseline Metrics'!$B18,RawBaseline!$B$23:$B$30)</f>
        <v>184742.378062512</v>
      </c>
      <c r="E18" s="49">
        <f>RawBaseline!C43</f>
        <v>1663736</v>
      </c>
      <c r="F18" s="49">
        <f>RawBaseline!C63</f>
        <v>274909</v>
      </c>
      <c r="G18" s="62">
        <f t="shared" ref="G18:G22" si="4">E18/$C$9</f>
        <v>0.34867794670710073</v>
      </c>
      <c r="H18" s="62">
        <f t="shared" ref="H18:H22" si="5">F18/$C$10</f>
        <v>0.3072209649931551</v>
      </c>
      <c r="I18" s="63">
        <v>25</v>
      </c>
      <c r="J18" s="64">
        <f t="shared" si="3"/>
        <v>28204811.621562</v>
      </c>
      <c r="K18" s="54"/>
      <c r="L18" s="55" t="s">
        <v>60</v>
      </c>
      <c r="M18" s="56">
        <f>C17/$C$9*$R$17</f>
        <v>32.369075989397167</v>
      </c>
      <c r="N18" s="57">
        <f>D17/$C$10*$R$17</f>
        <v>25.267886000887767</v>
      </c>
      <c r="O18" s="58">
        <f>C17/E17*60</f>
        <v>66.682422133777735</v>
      </c>
      <c r="P18" s="59">
        <f>D17/F17*60</f>
        <v>59.988209721459327</v>
      </c>
    </row>
    <row r="19" spans="2:20" x14ac:dyDescent="0.2">
      <c r="B19" s="48" t="s">
        <v>59</v>
      </c>
      <c r="C19" s="49">
        <f>SUMIF(RawBaseline!$A$23:$A$30,'Baseline Metrics'!$B19,RawBaseline!$D$23:$D$30)</f>
        <v>670948.25127255102</v>
      </c>
      <c r="D19" s="49">
        <f>SUMIF(RawBaseline!$A$23:$A$30,'Baseline Metrics'!$B19,RawBaseline!$B$23:$B$30)</f>
        <v>90722.431543291503</v>
      </c>
      <c r="E19" s="49">
        <f>RawBaseline!D43</f>
        <v>1033245</v>
      </c>
      <c r="F19" s="49">
        <f>RawBaseline!D63</f>
        <v>147332</v>
      </c>
      <c r="G19" s="62">
        <f t="shared" si="4"/>
        <v>0.21654261556243196</v>
      </c>
      <c r="H19" s="62">
        <f t="shared" si="5"/>
        <v>0.16464895370603191</v>
      </c>
      <c r="I19" s="63">
        <v>25</v>
      </c>
      <c r="J19" s="64">
        <f t="shared" si="3"/>
        <v>16773706.281813776</v>
      </c>
      <c r="K19" s="54"/>
      <c r="L19" s="55" t="s">
        <v>58</v>
      </c>
      <c r="M19" s="65">
        <f>C18/$C$9*$R$17</f>
        <v>14.18647545543304</v>
      </c>
      <c r="N19" s="30">
        <f>D18/$C$10*$R$17</f>
        <v>12.387386007041288</v>
      </c>
      <c r="O19" s="66">
        <f>C18/E18*60</f>
        <v>40.686471827110068</v>
      </c>
      <c r="P19" s="67">
        <f>D18/F18*60</f>
        <v>40.320770450406208</v>
      </c>
    </row>
    <row r="20" spans="2:20" x14ac:dyDescent="0.2">
      <c r="B20" s="48" t="s">
        <v>62</v>
      </c>
      <c r="C20" s="49">
        <f>SUMIF(RawBaseline!$A$23:$A$30,'Baseline Metrics'!$B20,RawBaseline!$D$23:$D$30)</f>
        <v>427789.29282321502</v>
      </c>
      <c r="D20" s="49">
        <f>SUMIF(RawBaseline!$A$23:$A$30,'Baseline Metrics'!$B20,RawBaseline!$B$23:$B$30)</f>
        <v>103333.15798670999</v>
      </c>
      <c r="E20" s="49">
        <f>RawScenario!G43</f>
        <v>361210</v>
      </c>
      <c r="F20" s="49">
        <f>RawBaseline!G43</f>
        <v>303032</v>
      </c>
      <c r="G20" s="62">
        <f t="shared" si="4"/>
        <v>7.5700688769174823E-2</v>
      </c>
      <c r="H20" s="62">
        <f t="shared" si="5"/>
        <v>0.33864945659765877</v>
      </c>
      <c r="I20" s="63">
        <v>25</v>
      </c>
      <c r="J20" s="64">
        <f t="shared" si="3"/>
        <v>10694732.320580374</v>
      </c>
      <c r="K20" s="54"/>
      <c r="L20" s="55" t="s">
        <v>59</v>
      </c>
      <c r="M20" s="65">
        <f>C19/$C$9*$R$17</f>
        <v>8.4368502671252994</v>
      </c>
      <c r="N20" s="30">
        <f>D19/$C$10*$R$17</f>
        <v>6.0831401587991953</v>
      </c>
      <c r="O20" s="66">
        <f>C19/E19*60</f>
        <v>38.961616147528474</v>
      </c>
      <c r="P20" s="67">
        <f>D19/F19*60</f>
        <v>36.94612095537623</v>
      </c>
    </row>
    <row r="21" spans="2:20" x14ac:dyDescent="0.2">
      <c r="B21" s="48" t="s">
        <v>63</v>
      </c>
      <c r="C21" s="49">
        <f>SUMIF(RawBaseline!$A$23:$A$30,'Baseline Metrics'!$B21,RawBaseline!$D$23:$D$30)</f>
        <v>1849964.8581043901</v>
      </c>
      <c r="D21" s="49">
        <f>SUMIF(RawBaseline!$A$23:$A$30,'Baseline Metrics'!$B21,RawBaseline!$B$23:$B$30)</f>
        <v>418005.89911944501</v>
      </c>
      <c r="E21" s="49">
        <f>RawBaseline!H43</f>
        <v>1226426</v>
      </c>
      <c r="F21" s="49">
        <f>RawBaseline!H63</f>
        <v>257118</v>
      </c>
      <c r="G21" s="62">
        <f t="shared" si="4"/>
        <v>0.25702857873376711</v>
      </c>
      <c r="H21" s="62">
        <f t="shared" si="5"/>
        <v>0.28733886514122875</v>
      </c>
      <c r="I21" s="63">
        <v>25</v>
      </c>
      <c r="J21" s="64">
        <f t="shared" si="3"/>
        <v>46249121.452609755</v>
      </c>
      <c r="K21" s="54"/>
      <c r="L21" s="55" t="s">
        <v>62</v>
      </c>
      <c r="M21" s="65">
        <f>C20/$C$9*$R$17</f>
        <v>5.3792437830839006</v>
      </c>
      <c r="N21" s="30">
        <f>D20/$C$10*$R$17</f>
        <v>6.9287173237254214</v>
      </c>
      <c r="O21" s="66">
        <f>C20/E20*60</f>
        <v>71.05937700892251</v>
      </c>
      <c r="P21" s="67">
        <f>D20/F20*60</f>
        <v>20.459850706204627</v>
      </c>
    </row>
    <row r="22" spans="2:20" x14ac:dyDescent="0.2">
      <c r="B22" s="68" t="s">
        <v>57</v>
      </c>
      <c r="C22" s="160">
        <f>SUMIF(RawBaseline!$A$23:$A$30,'Baseline Metrics'!$B22,RawBaseline!$D$23:$D$30)</f>
        <v>186210.07947659399</v>
      </c>
      <c r="D22" s="160">
        <f>SUMIF(RawBaseline!$A$23:$A$30,'Baseline Metrics'!$B22,RawBaseline!$B$23:$B$30)</f>
        <v>43154.724112801399</v>
      </c>
      <c r="E22" s="160">
        <f>RawBaseline!B43</f>
        <v>177423</v>
      </c>
      <c r="F22" s="160">
        <f>RawBaseline!B63</f>
        <v>39456</v>
      </c>
      <c r="G22" s="71">
        <f t="shared" si="4"/>
        <v>3.7183475827062669E-2</v>
      </c>
      <c r="H22" s="71">
        <f t="shared" si="5"/>
        <v>4.409353784259492E-2</v>
      </c>
      <c r="I22" s="72">
        <v>25</v>
      </c>
      <c r="J22" s="73">
        <f t="shared" si="3"/>
        <v>4655251.9869148498</v>
      </c>
      <c r="K22" s="54"/>
      <c r="L22" s="55" t="s">
        <v>63</v>
      </c>
      <c r="M22" s="65">
        <f>C21/$C$9*$R$17</f>
        <v>23.262414765472347</v>
      </c>
      <c r="N22" s="30">
        <f>D21/$C$10*$R$17</f>
        <v>28.028222219055905</v>
      </c>
      <c r="O22" s="66">
        <f>C21/E21*60</f>
        <v>90.505168258226263</v>
      </c>
      <c r="P22" s="67">
        <f>D21/F21*60</f>
        <v>97.544139061313103</v>
      </c>
    </row>
    <row r="23" spans="2:20" x14ac:dyDescent="0.2">
      <c r="B23" s="79"/>
      <c r="C23" s="61"/>
      <c r="D23" s="61"/>
      <c r="E23" s="61"/>
      <c r="F23" s="61"/>
      <c r="G23" s="62"/>
      <c r="H23" s="62"/>
      <c r="I23" s="63"/>
      <c r="J23" s="80"/>
      <c r="K23" s="54"/>
      <c r="L23" s="74" t="s">
        <v>57</v>
      </c>
      <c r="M23" s="75">
        <f>C22/$C$9*$R$17</f>
        <v>2.3415018308697353</v>
      </c>
      <c r="N23" s="76">
        <f>D22/$C$10*$R$17</f>
        <v>2.8936199220720074</v>
      </c>
      <c r="O23" s="77">
        <f>C22/E22*60</f>
        <v>62.971569461657388</v>
      </c>
      <c r="P23" s="78">
        <f>D22/F22*60</f>
        <v>65.624580463505779</v>
      </c>
    </row>
    <row r="24" spans="2:20" x14ac:dyDescent="0.2">
      <c r="B24" s="3" t="s">
        <v>108</v>
      </c>
      <c r="N24" s="30"/>
    </row>
    <row r="25" spans="2:20" ht="25.5" x14ac:dyDescent="0.2">
      <c r="B25" s="83" t="s">
        <v>88</v>
      </c>
      <c r="C25" s="84" t="s">
        <v>1</v>
      </c>
      <c r="D25" s="45" t="s">
        <v>2</v>
      </c>
      <c r="E25" s="45" t="s">
        <v>17</v>
      </c>
      <c r="F25" s="46" t="s">
        <v>16</v>
      </c>
      <c r="G25" s="28"/>
      <c r="L25" s="3" t="s">
        <v>109</v>
      </c>
      <c r="N25" s="81"/>
    </row>
    <row r="26" spans="2:20" ht="25.5" x14ac:dyDescent="0.2">
      <c r="B26" s="55" t="s">
        <v>0</v>
      </c>
      <c r="C26" s="85">
        <f>SUM(RawBaseline!C25:C27)</f>
        <v>14627384.13556144</v>
      </c>
      <c r="D26" s="86">
        <f>SUM(RawBaseline!E25:E27)</f>
        <v>2008914.0767362542</v>
      </c>
      <c r="E26" s="52" t="s">
        <v>83</v>
      </c>
      <c r="F26" s="53">
        <f>C26</f>
        <v>14627384.13556144</v>
      </c>
      <c r="G26" s="28"/>
      <c r="J26" s="87"/>
      <c r="L26" s="83" t="s">
        <v>129</v>
      </c>
      <c r="M26" s="45" t="s">
        <v>89</v>
      </c>
      <c r="N26" s="45" t="s">
        <v>49</v>
      </c>
      <c r="O26" s="45" t="s">
        <v>69</v>
      </c>
      <c r="P26" s="46" t="s">
        <v>70</v>
      </c>
    </row>
    <row r="27" spans="2:20" x14ac:dyDescent="0.2">
      <c r="B27" s="55" t="s">
        <v>22</v>
      </c>
      <c r="C27" s="60">
        <f>F27/E27</f>
        <v>3571574.4212644901</v>
      </c>
      <c r="D27" s="61">
        <f>RawBaseline!C84/'Baseline Metrics'!E27</f>
        <v>587031.62238092383</v>
      </c>
      <c r="E27" s="63">
        <v>21</v>
      </c>
      <c r="F27" s="92">
        <f>RawBaseline!C83</f>
        <v>75003062.846554294</v>
      </c>
      <c r="G27" s="28"/>
      <c r="L27" s="55" t="s">
        <v>0</v>
      </c>
      <c r="M27" s="88">
        <f>C26/$C$9</f>
        <v>3.0655382020245896</v>
      </c>
      <c r="N27" s="89">
        <f>D26/$C$10</f>
        <v>2.2450357072458349</v>
      </c>
      <c r="O27" s="90">
        <f>C26/E17</f>
        <v>6.3152100023363289</v>
      </c>
      <c r="P27" s="91">
        <f>D26/F17</f>
        <v>5.3299145339541329</v>
      </c>
    </row>
    <row r="28" spans="2:20" x14ac:dyDescent="0.2">
      <c r="B28" s="55" t="s">
        <v>84</v>
      </c>
      <c r="C28" s="96">
        <f>RawBaseline!C29</f>
        <v>677421.97600002005</v>
      </c>
      <c r="D28" s="80">
        <f>RawBaseline!E29</f>
        <v>167397.08199999901</v>
      </c>
      <c r="E28" s="63" t="s">
        <v>83</v>
      </c>
      <c r="F28" s="64">
        <f>C28</f>
        <v>677421.97600002005</v>
      </c>
      <c r="G28" s="28"/>
      <c r="L28" s="55" t="s">
        <v>22</v>
      </c>
      <c r="M28" s="93">
        <f>C27/C9</f>
        <v>0.74851372797012505</v>
      </c>
      <c r="N28" s="94">
        <f>D27/C10</f>
        <v>0.65602952798695147</v>
      </c>
      <c r="O28" s="26"/>
      <c r="P28" s="95"/>
    </row>
    <row r="29" spans="2:20" x14ac:dyDescent="0.2">
      <c r="B29" s="74" t="s">
        <v>14</v>
      </c>
      <c r="C29" s="99">
        <f>RawBaseline!C85</f>
        <v>2760935.9240285601</v>
      </c>
      <c r="D29" s="100">
        <f>RawBaseline!C86</f>
        <v>317488.48879814002</v>
      </c>
      <c r="E29" s="72" t="s">
        <v>83</v>
      </c>
      <c r="F29" s="73">
        <f>C29</f>
        <v>2760935.9240285601</v>
      </c>
      <c r="G29" s="28"/>
      <c r="L29" s="55" t="s">
        <v>68</v>
      </c>
      <c r="M29" s="97">
        <f>C28/$C$9</f>
        <v>0.14197090382485794</v>
      </c>
      <c r="N29" s="41">
        <f>D28/$C$10</f>
        <v>0.18707242421702455</v>
      </c>
      <c r="O29" s="98">
        <f>C28/E20</f>
        <v>1.8754242019878189</v>
      </c>
      <c r="P29" s="95"/>
    </row>
    <row r="30" spans="2:20" x14ac:dyDescent="0.2">
      <c r="L30" s="74" t="s">
        <v>14</v>
      </c>
      <c r="M30" s="101">
        <f>C29/$C$9</f>
        <v>0.57862393371313126</v>
      </c>
      <c r="N30" s="102">
        <f>D29/$C$10</f>
        <v>0.35480511697610151</v>
      </c>
      <c r="O30" s="103">
        <f>C29/E17</f>
        <v>1.1920033002240984</v>
      </c>
      <c r="P30" s="104">
        <f>D29/F17</f>
        <v>0.84233891852533616</v>
      </c>
    </row>
    <row r="31" spans="2:20" x14ac:dyDescent="0.2">
      <c r="B31" s="3" t="s">
        <v>110</v>
      </c>
    </row>
    <row r="32" spans="2:20" ht="38.25" x14ac:dyDescent="0.2">
      <c r="B32" s="42" t="s">
        <v>18</v>
      </c>
      <c r="C32" s="45" t="s">
        <v>1</v>
      </c>
      <c r="D32" s="45" t="s">
        <v>2</v>
      </c>
      <c r="E32" s="45" t="s">
        <v>72</v>
      </c>
      <c r="F32" s="46" t="s">
        <v>73</v>
      </c>
      <c r="G32" s="28"/>
      <c r="H32" s="28"/>
      <c r="I32" s="28"/>
      <c r="J32" s="28"/>
      <c r="K32" s="54"/>
      <c r="O32" s="10"/>
      <c r="P32" s="10"/>
    </row>
    <row r="33" spans="2:16" ht="25.5" x14ac:dyDescent="0.2">
      <c r="B33" s="55" t="s">
        <v>50</v>
      </c>
      <c r="C33" s="66">
        <f>O22</f>
        <v>90.505168258226263</v>
      </c>
      <c r="D33" s="66">
        <f>P22</f>
        <v>97.544139061313103</v>
      </c>
      <c r="E33" s="79"/>
      <c r="F33" s="106"/>
      <c r="G33" s="28"/>
      <c r="H33" s="28"/>
      <c r="I33" s="28"/>
      <c r="J33" s="28"/>
      <c r="K33" s="54"/>
      <c r="L33" s="10"/>
      <c r="M33" s="10"/>
      <c r="N33" s="10"/>
      <c r="O33" s="10"/>
      <c r="P33" s="10"/>
    </row>
    <row r="34" spans="2:16" x14ac:dyDescent="0.2">
      <c r="B34" s="55" t="s">
        <v>11</v>
      </c>
      <c r="C34" s="61">
        <f>E21</f>
        <v>1226426</v>
      </c>
      <c r="D34" s="61">
        <f>F21</f>
        <v>257118</v>
      </c>
      <c r="E34" s="107">
        <f>G21</f>
        <v>0.25702857873376711</v>
      </c>
      <c r="F34" s="108">
        <f>H21</f>
        <v>0.28733886514122875</v>
      </c>
      <c r="G34" s="28"/>
      <c r="H34" s="28"/>
      <c r="I34" s="28"/>
      <c r="J34" s="28"/>
      <c r="K34" s="54"/>
      <c r="L34" s="10"/>
      <c r="M34" s="10"/>
      <c r="N34" s="10"/>
      <c r="O34" s="10"/>
      <c r="P34" s="10"/>
    </row>
    <row r="35" spans="2:16" x14ac:dyDescent="0.2">
      <c r="B35" s="55" t="s">
        <v>12</v>
      </c>
      <c r="C35" s="105">
        <f>O23</f>
        <v>62.971569461657388</v>
      </c>
      <c r="D35" s="66">
        <f>P23</f>
        <v>65.624580463505779</v>
      </c>
      <c r="E35" s="79"/>
      <c r="F35" s="106"/>
      <c r="G35" s="28"/>
      <c r="H35" s="28"/>
      <c r="I35" s="28"/>
      <c r="J35" s="28"/>
      <c r="K35" s="54"/>
      <c r="L35" s="10"/>
      <c r="M35" s="10"/>
      <c r="N35" s="10"/>
      <c r="O35" s="10"/>
      <c r="P35" s="10"/>
    </row>
    <row r="36" spans="2:16" x14ac:dyDescent="0.2">
      <c r="B36" s="74" t="s">
        <v>13</v>
      </c>
      <c r="C36" s="70">
        <f>E22</f>
        <v>177423</v>
      </c>
      <c r="D36" s="70">
        <f>F22</f>
        <v>39456</v>
      </c>
      <c r="E36" s="109">
        <f>G22</f>
        <v>3.7183475827062669E-2</v>
      </c>
      <c r="F36" s="110">
        <f>H22</f>
        <v>4.409353784259492E-2</v>
      </c>
      <c r="G36" s="28"/>
      <c r="H36" s="28"/>
      <c r="I36" s="28"/>
      <c r="J36" s="28"/>
      <c r="K36" s="54"/>
      <c r="L36" s="10"/>
      <c r="M36" s="10"/>
      <c r="N36" s="10"/>
      <c r="O36" s="10"/>
      <c r="P36" s="10"/>
    </row>
    <row r="37" spans="2:16" x14ac:dyDescent="0.2">
      <c r="L37" s="10"/>
      <c r="M37" s="10"/>
      <c r="N37" s="10"/>
    </row>
    <row r="38" spans="2:16" x14ac:dyDescent="0.2">
      <c r="B38" s="3" t="s">
        <v>111</v>
      </c>
    </row>
    <row r="39" spans="2:16" ht="25.5" x14ac:dyDescent="0.2">
      <c r="B39" s="42" t="s">
        <v>20</v>
      </c>
      <c r="C39" s="45" t="s">
        <v>1</v>
      </c>
      <c r="D39" s="45" t="s">
        <v>17</v>
      </c>
      <c r="E39" s="46" t="s">
        <v>16</v>
      </c>
      <c r="G39" s="79"/>
      <c r="H39" s="79"/>
      <c r="I39" s="28"/>
      <c r="J39" s="28"/>
      <c r="K39" s="54"/>
    </row>
    <row r="40" spans="2:16" x14ac:dyDescent="0.2">
      <c r="B40" s="55" t="s">
        <v>3</v>
      </c>
      <c r="C40" s="66">
        <f>SUM(RawBaseline!H163:H166)</f>
        <v>59.932067738659669</v>
      </c>
      <c r="D40" s="63">
        <v>75500</v>
      </c>
      <c r="E40" s="64">
        <f>D40*C40</f>
        <v>4524871.1142688049</v>
      </c>
      <c r="F40" s="28"/>
      <c r="G40" s="28"/>
      <c r="H40" s="28"/>
      <c r="I40" s="28"/>
      <c r="J40" s="28"/>
      <c r="K40" s="54"/>
      <c r="L40" s="28"/>
      <c r="M40" s="28"/>
      <c r="O40" s="10"/>
      <c r="P40" s="10"/>
    </row>
    <row r="41" spans="2:16" x14ac:dyDescent="0.2">
      <c r="B41" s="55" t="s">
        <v>4</v>
      </c>
      <c r="C41" s="66">
        <f>SUM(RawBaseline!G163:G166)</f>
        <v>113.71842070871726</v>
      </c>
      <c r="D41" s="63">
        <v>2600</v>
      </c>
      <c r="E41" s="64">
        <f>D41*C41</f>
        <v>295667.8938426649</v>
      </c>
      <c r="F41" s="28"/>
      <c r="G41" s="28"/>
      <c r="H41" s="28"/>
      <c r="I41" s="28"/>
      <c r="J41" s="28"/>
      <c r="K41" s="54"/>
      <c r="L41" s="28"/>
      <c r="M41" s="28"/>
      <c r="N41" s="10"/>
      <c r="O41" s="10"/>
      <c r="P41" s="10"/>
    </row>
    <row r="42" spans="2:16" x14ac:dyDescent="0.2">
      <c r="B42" s="74" t="s">
        <v>5</v>
      </c>
      <c r="C42" s="111">
        <f>SUM(RawBaseline!I163:I166)</f>
        <v>1.1089193490662854</v>
      </c>
      <c r="D42" s="100">
        <f>2500000</f>
        <v>2500000</v>
      </c>
      <c r="E42" s="73">
        <f>D42*C42</f>
        <v>2772298.3726657135</v>
      </c>
      <c r="F42" s="28"/>
      <c r="G42" s="28"/>
      <c r="H42" s="28"/>
      <c r="I42" s="28"/>
      <c r="J42" s="28"/>
      <c r="K42" s="54"/>
      <c r="L42" s="28"/>
      <c r="M42" s="28"/>
      <c r="N42" s="10"/>
      <c r="O42" s="10"/>
      <c r="P42" s="10"/>
    </row>
    <row r="43" spans="2:16" x14ac:dyDescent="0.2">
      <c r="B43" s="79"/>
      <c r="C43" s="105"/>
      <c r="D43" s="80"/>
      <c r="E43" s="80"/>
      <c r="F43" s="28"/>
      <c r="G43" s="28"/>
      <c r="H43" s="28"/>
      <c r="I43" s="28"/>
      <c r="J43" s="28"/>
      <c r="K43" s="54"/>
      <c r="L43" s="28"/>
      <c r="M43" s="28"/>
      <c r="N43" s="10"/>
      <c r="O43" s="10"/>
      <c r="P43" s="10"/>
    </row>
    <row r="44" spans="2:16" x14ac:dyDescent="0.2">
      <c r="B44" s="3" t="s">
        <v>113</v>
      </c>
      <c r="L44" s="28"/>
      <c r="M44" s="28"/>
      <c r="N44" s="10"/>
    </row>
    <row r="45" spans="2:16" ht="25.5" x14ac:dyDescent="0.2">
      <c r="B45" s="112" t="s">
        <v>71</v>
      </c>
      <c r="C45" s="44" t="s">
        <v>1</v>
      </c>
      <c r="D45" s="44" t="s">
        <v>17</v>
      </c>
      <c r="E45" s="113" t="s">
        <v>16</v>
      </c>
      <c r="G45" s="79"/>
      <c r="H45" s="79"/>
      <c r="I45" s="28"/>
      <c r="J45" s="28"/>
      <c r="K45" s="54"/>
    </row>
    <row r="46" spans="2:16" x14ac:dyDescent="0.2">
      <c r="B46" s="55" t="s">
        <v>6</v>
      </c>
      <c r="C46" s="66">
        <f>SUM(RawBaseline!B123:E123)</f>
        <v>53018.134373881781</v>
      </c>
      <c r="D46" s="114">
        <v>55.34</v>
      </c>
      <c r="E46" s="64">
        <f>D46*C46</f>
        <v>2934023.5562506178</v>
      </c>
      <c r="G46" s="141"/>
      <c r="H46" s="79"/>
      <c r="I46" s="28"/>
      <c r="J46" s="28"/>
      <c r="K46" s="54"/>
      <c r="L46" s="28"/>
      <c r="M46" s="28"/>
    </row>
    <row r="47" spans="2:16" x14ac:dyDescent="0.2">
      <c r="B47" s="55" t="s">
        <v>7</v>
      </c>
      <c r="C47" s="66">
        <f>SUM(RawBaseline!B124:E124)</f>
        <v>1204.0604488568922</v>
      </c>
      <c r="D47" s="114">
        <v>380</v>
      </c>
      <c r="E47" s="64">
        <f>D47*C47</f>
        <v>457542.97056561906</v>
      </c>
      <c r="G47" s="141"/>
      <c r="H47" s="79"/>
      <c r="I47" s="28"/>
      <c r="J47" s="28"/>
      <c r="K47" s="54"/>
      <c r="L47" s="28"/>
      <c r="M47" s="28"/>
    </row>
    <row r="48" spans="2:16" x14ac:dyDescent="0.2">
      <c r="B48" s="55" t="s">
        <v>8</v>
      </c>
      <c r="C48" s="66">
        <f>SUM(RawBaseline!B125:E125)</f>
        <v>39.978148399217645</v>
      </c>
      <c r="D48" s="114">
        <v>9800</v>
      </c>
      <c r="E48" s="64">
        <f>D48*C48</f>
        <v>391785.85431233293</v>
      </c>
      <c r="G48" s="141"/>
      <c r="H48" s="79"/>
      <c r="I48" s="28"/>
      <c r="J48" s="28"/>
      <c r="K48" s="54"/>
      <c r="L48" s="28"/>
      <c r="M48" s="28"/>
    </row>
    <row r="49" spans="2:16" x14ac:dyDescent="0.2">
      <c r="B49" s="55" t="s">
        <v>9</v>
      </c>
      <c r="C49" s="66">
        <f>SUM(RawBaseline!B126:E126)</f>
        <v>1.3520565533167224</v>
      </c>
      <c r="D49" s="114">
        <v>7800</v>
      </c>
      <c r="E49" s="64">
        <f>D49*C49</f>
        <v>10546.041115870434</v>
      </c>
      <c r="G49" s="141"/>
      <c r="H49" s="79"/>
      <c r="I49" s="28"/>
      <c r="J49" s="28"/>
      <c r="K49" s="54"/>
      <c r="L49" s="28"/>
      <c r="M49" s="28"/>
    </row>
    <row r="50" spans="2:16" x14ac:dyDescent="0.2">
      <c r="B50" s="74" t="s">
        <v>10</v>
      </c>
      <c r="C50" s="77">
        <f>SUM(RawBaseline!B127:E127)</f>
        <v>50.136343501347</v>
      </c>
      <c r="D50" s="115">
        <v>6500</v>
      </c>
      <c r="E50" s="73">
        <f>D50*C50</f>
        <v>325886.2327587555</v>
      </c>
      <c r="G50" s="141"/>
      <c r="H50" s="79"/>
      <c r="I50" s="28"/>
      <c r="J50" s="28"/>
      <c r="K50" s="54"/>
      <c r="L50" s="28"/>
      <c r="M50" s="28"/>
    </row>
    <row r="51" spans="2:16" x14ac:dyDescent="0.2">
      <c r="B51" s="79"/>
      <c r="C51" s="79"/>
      <c r="D51" s="79"/>
      <c r="E51" s="79"/>
      <c r="F51" s="79"/>
      <c r="G51" s="79"/>
      <c r="H51" s="79"/>
      <c r="I51" s="28"/>
      <c r="J51" s="28"/>
      <c r="K51" s="54"/>
      <c r="L51" s="28"/>
      <c r="M51" s="28"/>
    </row>
    <row r="52" spans="2:16" s="116" customFormat="1" x14ac:dyDescent="0.2">
      <c r="B52" s="3" t="s">
        <v>112</v>
      </c>
      <c r="C52" s="14"/>
      <c r="D52" s="14"/>
      <c r="E52" s="14"/>
      <c r="F52" s="14"/>
      <c r="G52" s="14"/>
      <c r="H52" s="14"/>
      <c r="I52" s="14"/>
      <c r="J52" s="14"/>
      <c r="K52" s="29"/>
      <c r="L52" s="28"/>
      <c r="M52" s="28"/>
      <c r="N52" s="28"/>
      <c r="O52" s="117"/>
      <c r="P52" s="117"/>
    </row>
    <row r="53" spans="2:16" ht="25.5" x14ac:dyDescent="0.2">
      <c r="B53" s="42" t="s">
        <v>19</v>
      </c>
      <c r="C53" s="45" t="s">
        <v>1</v>
      </c>
      <c r="D53" s="45"/>
      <c r="E53" s="45" t="s">
        <v>17</v>
      </c>
      <c r="F53" s="46" t="s">
        <v>16</v>
      </c>
      <c r="G53" s="79"/>
      <c r="H53" s="79"/>
      <c r="L53" s="14"/>
      <c r="M53" s="14"/>
      <c r="N53" s="117"/>
    </row>
    <row r="54" spans="2:16" x14ac:dyDescent="0.2">
      <c r="B54" s="55" t="s">
        <v>158</v>
      </c>
      <c r="C54" s="61">
        <f>RawBaseline!F183</f>
        <v>165571.326172</v>
      </c>
      <c r="D54" s="79"/>
      <c r="E54" s="169">
        <v>49</v>
      </c>
      <c r="F54" s="64">
        <f>C54*E54</f>
        <v>8112994.9824280003</v>
      </c>
      <c r="G54" s="79"/>
      <c r="H54" s="79"/>
    </row>
    <row r="55" spans="2:16" x14ac:dyDescent="0.2">
      <c r="B55" s="55" t="s">
        <v>176</v>
      </c>
      <c r="C55" s="61">
        <f>RawBaseline!G183</f>
        <v>5328174.6875</v>
      </c>
      <c r="D55" s="79"/>
      <c r="E55" s="169">
        <v>0.99</v>
      </c>
      <c r="F55" s="64">
        <f t="shared" ref="F55:F59" si="6">C55*E55</f>
        <v>5274892.9406249998</v>
      </c>
      <c r="G55" s="79"/>
      <c r="H55" s="79"/>
    </row>
    <row r="56" spans="2:16" x14ac:dyDescent="0.2">
      <c r="B56" s="55" t="s">
        <v>159</v>
      </c>
      <c r="C56" s="61">
        <f>RawBaseline!E183</f>
        <v>338103.8125</v>
      </c>
      <c r="D56" s="79"/>
      <c r="E56" s="170">
        <v>1</v>
      </c>
      <c r="F56" s="64">
        <f t="shared" si="6"/>
        <v>338103.8125</v>
      </c>
    </row>
    <row r="57" spans="2:16" x14ac:dyDescent="0.2">
      <c r="B57" s="55" t="s">
        <v>160</v>
      </c>
      <c r="C57" s="61">
        <f>RawBaseline!C183</f>
        <v>74816.416014000002</v>
      </c>
      <c r="D57" s="79"/>
      <c r="E57" s="169">
        <v>54.45</v>
      </c>
      <c r="F57" s="64">
        <f t="shared" si="6"/>
        <v>4073753.8519623005</v>
      </c>
    </row>
    <row r="58" spans="2:16" x14ac:dyDescent="0.2">
      <c r="B58" s="55" t="s">
        <v>177</v>
      </c>
      <c r="C58" s="61">
        <f>RawBaseline!D183</f>
        <v>2597951.8164059999</v>
      </c>
      <c r="D58" s="79"/>
      <c r="E58" s="169">
        <v>0.99</v>
      </c>
      <c r="F58" s="64">
        <f t="shared" si="6"/>
        <v>2571972.2982419399</v>
      </c>
    </row>
    <row r="59" spans="2:16" x14ac:dyDescent="0.2">
      <c r="B59" s="74" t="s">
        <v>161</v>
      </c>
      <c r="C59" s="70">
        <f>RawBaseline!B183</f>
        <v>559922.31494299998</v>
      </c>
      <c r="D59" s="118"/>
      <c r="E59" s="118">
        <v>1</v>
      </c>
      <c r="F59" s="73">
        <f t="shared" si="6"/>
        <v>559922.31494299998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C54" sqref="C54"/>
    </sheetView>
  </sheetViews>
  <sheetFormatPr defaultRowHeight="14.25" x14ac:dyDescent="0.2"/>
  <cols>
    <col min="1" max="1" width="4.140625" style="10" customWidth="1"/>
    <col min="2" max="2" width="30.85546875" style="81" customWidth="1"/>
    <col min="3" max="3" width="15.140625" style="81" customWidth="1"/>
    <col min="4" max="4" width="15.85546875" style="81" bestFit="1" customWidth="1"/>
    <col min="5" max="5" width="11" style="81" customWidth="1"/>
    <col min="6" max="6" width="12.7109375" style="81" customWidth="1"/>
    <col min="7" max="9" width="11" style="81" customWidth="1"/>
    <col min="10" max="10" width="14.7109375" style="81" bestFit="1" customWidth="1"/>
    <col min="11" max="11" width="4" style="82" customWidth="1"/>
    <col min="12" max="12" width="25.28515625" style="81" customWidth="1"/>
    <col min="13" max="13" width="13.140625" style="81" bestFit="1" customWidth="1"/>
    <col min="14" max="14" width="19.42578125" style="28" customWidth="1"/>
    <col min="15" max="15" width="17.5703125" style="28" customWidth="1"/>
    <col min="16" max="16" width="15.85546875" style="28" bestFit="1" customWidth="1"/>
    <col min="17" max="17" width="4.5703125" style="10" customWidth="1"/>
    <col min="18" max="16384" width="9.140625" style="10"/>
  </cols>
  <sheetData>
    <row r="1" spans="1:20" s="7" customFormat="1" ht="26.25" thickBot="1" x14ac:dyDescent="0.4">
      <c r="A1" s="4" t="s">
        <v>120</v>
      </c>
      <c r="B1" s="6"/>
      <c r="C1" s="6"/>
      <c r="D1" s="6"/>
      <c r="E1" s="6"/>
      <c r="F1" s="6"/>
      <c r="G1" s="6"/>
      <c r="H1" s="6"/>
      <c r="I1" s="6"/>
      <c r="J1" s="6"/>
      <c r="K1" s="5"/>
      <c r="L1" s="6"/>
      <c r="M1" s="6"/>
    </row>
    <row r="2" spans="1:20" s="8" customFormat="1" ht="21" customHeight="1" thickBot="1" x14ac:dyDescent="0.3">
      <c r="B2" s="9" t="s">
        <v>104</v>
      </c>
      <c r="L2" s="3" t="s">
        <v>106</v>
      </c>
    </row>
    <row r="3" spans="1:20" ht="26.25" x14ac:dyDescent="0.25">
      <c r="B3" s="11" t="s">
        <v>121</v>
      </c>
      <c r="C3" s="12">
        <f>SUM(J15:J20,F24:F27,E38:E40,E44:E48)</f>
        <v>273688117.37191606</v>
      </c>
      <c r="D3" s="13"/>
      <c r="E3" s="10"/>
      <c r="F3" s="14" t="s">
        <v>82</v>
      </c>
      <c r="G3" s="15"/>
      <c r="H3" s="14"/>
      <c r="I3" s="14"/>
      <c r="J3" s="10"/>
      <c r="K3" s="16"/>
      <c r="L3" s="119" t="s">
        <v>93</v>
      </c>
      <c r="M3" s="120" t="s">
        <v>99</v>
      </c>
      <c r="N3" s="121" t="s">
        <v>100</v>
      </c>
      <c r="O3" s="10"/>
      <c r="P3" s="10"/>
    </row>
    <row r="4" spans="1:20" ht="15" x14ac:dyDescent="0.25">
      <c r="B4" s="20" t="s">
        <v>122</v>
      </c>
      <c r="C4" s="21">
        <f>C3/C7</f>
        <v>57.35826525564854</v>
      </c>
      <c r="D4" s="22"/>
      <c r="E4" s="14"/>
      <c r="F4" s="14" t="s">
        <v>81</v>
      </c>
      <c r="G4" s="15"/>
      <c r="H4" s="14"/>
      <c r="I4" s="14"/>
      <c r="J4" s="10"/>
      <c r="K4" s="16"/>
      <c r="L4" s="122" t="s">
        <v>51</v>
      </c>
      <c r="M4" s="24">
        <f>SUM(J15:J20)</f>
        <v>169903898.49976087</v>
      </c>
      <c r="N4" s="25">
        <f>M4/$C$7</f>
        <v>35.607657985658946</v>
      </c>
      <c r="O4" s="10"/>
      <c r="P4" s="10"/>
    </row>
    <row r="5" spans="1:20" x14ac:dyDescent="0.2">
      <c r="B5" s="20" t="s">
        <v>123</v>
      </c>
      <c r="C5" s="125" t="s">
        <v>181</v>
      </c>
      <c r="D5" s="27"/>
      <c r="E5" s="14"/>
      <c r="F5" s="28"/>
      <c r="G5" s="28"/>
      <c r="H5" s="14"/>
      <c r="I5" s="14"/>
      <c r="J5" s="10"/>
      <c r="K5" s="29"/>
      <c r="L5" s="122" t="s">
        <v>96</v>
      </c>
      <c r="M5" s="24">
        <f>F24</f>
        <v>14554047.426075071</v>
      </c>
      <c r="N5" s="25">
        <f t="shared" ref="N5:N14" si="0">M5/$C$7</f>
        <v>3.0501686402179313</v>
      </c>
      <c r="O5" s="10"/>
      <c r="P5" s="10"/>
    </row>
    <row r="6" spans="1:20" x14ac:dyDescent="0.2">
      <c r="B6" s="20" t="s">
        <v>85</v>
      </c>
      <c r="C6" s="30">
        <f>SUM(M18:M23)</f>
        <v>85.458379165581476</v>
      </c>
      <c r="D6" s="31" t="s">
        <v>103</v>
      </c>
      <c r="E6" s="14"/>
      <c r="F6" s="10"/>
      <c r="G6" s="10"/>
      <c r="H6" s="14"/>
      <c r="I6" s="14"/>
      <c r="J6" s="10"/>
      <c r="K6" s="29"/>
      <c r="L6" s="23" t="s">
        <v>167</v>
      </c>
      <c r="M6" s="24">
        <f>F54+F57</f>
        <v>1773274.9882820002</v>
      </c>
      <c r="N6" s="25">
        <f>M6/$C$7</f>
        <v>0.37163461141745202</v>
      </c>
      <c r="O6" s="10"/>
      <c r="P6" s="10"/>
    </row>
    <row r="7" spans="1:20" x14ac:dyDescent="0.2">
      <c r="B7" s="20" t="s">
        <v>15</v>
      </c>
      <c r="C7" s="37">
        <f>RawScenario!C3</f>
        <v>4771555</v>
      </c>
      <c r="D7" s="31"/>
      <c r="E7" s="14"/>
      <c r="F7" s="14"/>
      <c r="G7" s="14"/>
      <c r="H7" s="14"/>
      <c r="I7" s="14"/>
      <c r="J7" s="10"/>
      <c r="K7" s="29"/>
      <c r="L7" s="23" t="s">
        <v>178</v>
      </c>
      <c r="M7" s="24">
        <f t="shared" ref="M7:M8" si="1">F55+F58</f>
        <v>3478589.2071414003</v>
      </c>
      <c r="N7" s="25">
        <f t="shared" ref="N7:N8" si="2">M7/$C$7</f>
        <v>0.72902632520035926</v>
      </c>
      <c r="O7" s="10"/>
      <c r="P7" s="10"/>
    </row>
    <row r="8" spans="1:20" ht="15" thickBot="1" x14ac:dyDescent="0.25">
      <c r="A8" s="33"/>
      <c r="B8" s="34" t="s">
        <v>67</v>
      </c>
      <c r="C8" s="123">
        <f>RawScenario!B3</f>
        <v>894825</v>
      </c>
      <c r="D8" s="36"/>
      <c r="E8" s="14"/>
      <c r="F8" s="14"/>
      <c r="G8" s="14"/>
      <c r="H8" s="14"/>
      <c r="I8" s="14"/>
      <c r="J8" s="14"/>
      <c r="K8" s="29"/>
      <c r="L8" s="23" t="s">
        <v>179</v>
      </c>
      <c r="M8" s="24">
        <f t="shared" si="1"/>
        <v>2596661.0535937501</v>
      </c>
      <c r="N8" s="25">
        <f t="shared" si="2"/>
        <v>0.54419598088961563</v>
      </c>
      <c r="O8" s="10"/>
      <c r="P8" s="10"/>
    </row>
    <row r="9" spans="1:20" x14ac:dyDescent="0.2">
      <c r="A9" s="33"/>
      <c r="B9" s="3"/>
      <c r="C9" s="37"/>
      <c r="D9" s="37"/>
      <c r="E9" s="26"/>
      <c r="F9" s="14"/>
      <c r="G9" s="14"/>
      <c r="H9" s="14"/>
      <c r="I9" s="14"/>
      <c r="J9" s="14"/>
      <c r="K9" s="29"/>
      <c r="L9" s="122" t="s">
        <v>101</v>
      </c>
      <c r="M9" s="24">
        <f>F25</f>
        <v>74186388.116557002</v>
      </c>
      <c r="N9" s="25">
        <f t="shared" si="0"/>
        <v>15.547633447913102</v>
      </c>
      <c r="P9" s="10"/>
    </row>
    <row r="10" spans="1:20" x14ac:dyDescent="0.2">
      <c r="A10" s="33"/>
      <c r="B10" s="10"/>
      <c r="C10" s="10"/>
      <c r="D10" s="10"/>
      <c r="E10" s="26"/>
      <c r="F10" s="14"/>
      <c r="G10" s="14"/>
      <c r="H10" s="14"/>
      <c r="I10" s="14"/>
      <c r="J10" s="14"/>
      <c r="K10" s="29"/>
      <c r="L10" s="122" t="s">
        <v>84</v>
      </c>
      <c r="M10" s="24">
        <f>F26</f>
        <v>880745.29599964595</v>
      </c>
      <c r="N10" s="25">
        <f t="shared" si="0"/>
        <v>0.18458244660276282</v>
      </c>
      <c r="P10" s="10"/>
    </row>
    <row r="11" spans="1:20" x14ac:dyDescent="0.2">
      <c r="A11" s="33"/>
      <c r="B11" s="10"/>
      <c r="C11" s="10"/>
      <c r="D11" s="10"/>
      <c r="E11" s="26"/>
      <c r="F11" s="14"/>
      <c r="G11" s="14"/>
      <c r="H11" s="14"/>
      <c r="I11" s="14"/>
      <c r="J11" s="14"/>
      <c r="K11" s="29"/>
      <c r="L11" s="122" t="s">
        <v>94</v>
      </c>
      <c r="M11" s="24">
        <f>F27</f>
        <v>2694066.30661606</v>
      </c>
      <c r="N11" s="25">
        <f t="shared" si="0"/>
        <v>0.56460971457230613</v>
      </c>
      <c r="P11" s="10"/>
    </row>
    <row r="12" spans="1:20" x14ac:dyDescent="0.2">
      <c r="A12" s="33"/>
      <c r="B12" s="10"/>
      <c r="C12" s="10"/>
      <c r="D12" s="10"/>
      <c r="E12" s="26"/>
      <c r="F12" s="14"/>
      <c r="G12" s="14"/>
      <c r="H12" s="14"/>
      <c r="I12" s="14"/>
      <c r="J12" s="14"/>
      <c r="K12" s="29"/>
      <c r="L12" s="122" t="s">
        <v>95</v>
      </c>
      <c r="M12" s="37" t="s">
        <v>124</v>
      </c>
      <c r="N12" s="25"/>
      <c r="P12" s="10"/>
    </row>
    <row r="13" spans="1:20" s="33" customFormat="1" x14ac:dyDescent="0.2">
      <c r="B13" s="3" t="s">
        <v>105</v>
      </c>
      <c r="C13" s="37"/>
      <c r="D13" s="37"/>
      <c r="E13" s="26"/>
      <c r="F13" s="14"/>
      <c r="G13" s="14"/>
      <c r="H13" s="14"/>
      <c r="I13" s="14"/>
      <c r="J13" s="14"/>
      <c r="K13" s="29"/>
      <c r="L13" s="122" t="s">
        <v>97</v>
      </c>
      <c r="M13" s="24">
        <f>SUM(E38:E40)</f>
        <v>7680825.892229626</v>
      </c>
      <c r="N13" s="25">
        <f t="shared" si="0"/>
        <v>1.6097112769798578</v>
      </c>
      <c r="P13" s="26"/>
    </row>
    <row r="14" spans="1:20" ht="31.5" customHeight="1" x14ac:dyDescent="0.2">
      <c r="B14" s="42" t="s">
        <v>86</v>
      </c>
      <c r="C14" s="43" t="s">
        <v>114</v>
      </c>
      <c r="D14" s="44" t="s">
        <v>115</v>
      </c>
      <c r="E14" s="44" t="s">
        <v>74</v>
      </c>
      <c r="F14" s="44" t="s">
        <v>80</v>
      </c>
      <c r="G14" s="44" t="s">
        <v>91</v>
      </c>
      <c r="H14" s="44" t="s">
        <v>92</v>
      </c>
      <c r="I14" s="45" t="s">
        <v>17</v>
      </c>
      <c r="J14" s="46" t="s">
        <v>16</v>
      </c>
      <c r="K14" s="47"/>
      <c r="L14" s="124" t="s">
        <v>98</v>
      </c>
      <c r="M14" s="39">
        <f>SUM(E44:E48)</f>
        <v>3788145.8346777563</v>
      </c>
      <c r="N14" s="40">
        <f t="shared" si="0"/>
        <v>0.79390174370362621</v>
      </c>
    </row>
    <row r="15" spans="1:20" x14ac:dyDescent="0.2">
      <c r="B15" s="48" t="s">
        <v>60</v>
      </c>
      <c r="C15" s="49">
        <f>SUMIF(RawScenario!$A$23:$A$30,'Scenario Metrics'!$B15,RawScenario!$D$23:$D$30)</f>
        <v>2424734.47189799</v>
      </c>
      <c r="D15" s="49">
        <f>SUMIF(RawScenario!$A$23:$A$30,'Scenario Metrics'!$B15,RawScenario!$B$23:$B$30)</f>
        <v>358360.99862947501</v>
      </c>
      <c r="E15" s="50">
        <f>RawScenario!E43</f>
        <v>2286018</v>
      </c>
      <c r="F15" s="50">
        <f>RawScenario!E63</f>
        <v>367692</v>
      </c>
      <c r="G15" s="51">
        <f>E15/$C$7</f>
        <v>0.47909287433551534</v>
      </c>
      <c r="H15" s="51">
        <f>F15/$C$8</f>
        <v>0.41090939569189505</v>
      </c>
      <c r="I15" s="52">
        <v>25</v>
      </c>
      <c r="J15" s="53">
        <f t="shared" ref="J15:J20" si="3">C15*I15</f>
        <v>60618361.797449753</v>
      </c>
      <c r="K15" s="54"/>
      <c r="L15" s="26"/>
      <c r="M15" s="24"/>
      <c r="N15" s="41"/>
      <c r="R15" s="28">
        <v>60</v>
      </c>
      <c r="S15" s="28" t="s">
        <v>66</v>
      </c>
      <c r="T15" s="14"/>
    </row>
    <row r="16" spans="1:20" x14ac:dyDescent="0.2">
      <c r="B16" s="48" t="s">
        <v>58</v>
      </c>
      <c r="C16" s="49">
        <f>SUMIF(RawScenario!$A$23:$A$30,'Scenario Metrics'!$B16,RawScenario!$D$23:$D$30)</f>
        <v>1107753.83578493</v>
      </c>
      <c r="D16" s="49">
        <f>SUMIF(RawScenario!$A$23:$A$30,'Scenario Metrics'!$B16,RawScenario!$B$23:$B$30)</f>
        <v>180516.72536414699</v>
      </c>
      <c r="E16" s="61">
        <f>RawScenario!C43</f>
        <v>1665889</v>
      </c>
      <c r="F16" s="61">
        <f>RawScenario!C63</f>
        <v>273042</v>
      </c>
      <c r="G16" s="62">
        <f t="shared" ref="G16:G20" si="4">E16/$C$7</f>
        <v>0.34912916229614877</v>
      </c>
      <c r="H16" s="62">
        <f t="shared" ref="H16:H20" si="5">F16/$C$8</f>
        <v>0.30513452351018355</v>
      </c>
      <c r="I16" s="63">
        <v>25</v>
      </c>
      <c r="J16" s="64">
        <f t="shared" si="3"/>
        <v>27693845.89462325</v>
      </c>
      <c r="K16" s="54"/>
      <c r="L16" s="3" t="s">
        <v>107</v>
      </c>
      <c r="M16" s="33"/>
      <c r="N16" s="33"/>
    </row>
    <row r="17" spans="2:16" ht="25.5" x14ac:dyDescent="0.2">
      <c r="B17" s="48" t="s">
        <v>59</v>
      </c>
      <c r="C17" s="49">
        <f>SUMIF(RawScenario!$A$23:$A$30,'Scenario Metrics'!$B17,RawScenario!$D$23:$D$30)</f>
        <v>664252.96100976295</v>
      </c>
      <c r="D17" s="49">
        <f>SUMIF(RawScenario!$A$23:$A$30,'Scenario Metrics'!$B17,RawScenario!$B$23:$B$30)</f>
        <v>89375.888819276806</v>
      </c>
      <c r="E17" s="61">
        <f>RawScenario!D43</f>
        <v>1036372</v>
      </c>
      <c r="F17" s="61">
        <f>RawScenario!D63</f>
        <v>146924</v>
      </c>
      <c r="G17" s="62">
        <f t="shared" si="4"/>
        <v>0.2171979574792704</v>
      </c>
      <c r="H17" s="62">
        <f t="shared" si="5"/>
        <v>0.16419299863101725</v>
      </c>
      <c r="I17" s="63">
        <v>25</v>
      </c>
      <c r="J17" s="64">
        <f t="shared" si="3"/>
        <v>16606324.025244074</v>
      </c>
      <c r="K17" s="54"/>
      <c r="L17" s="42" t="s">
        <v>87</v>
      </c>
      <c r="M17" s="45" t="s">
        <v>116</v>
      </c>
      <c r="N17" s="45" t="s">
        <v>117</v>
      </c>
      <c r="O17" s="45" t="s">
        <v>118</v>
      </c>
      <c r="P17" s="46" t="s">
        <v>119</v>
      </c>
    </row>
    <row r="18" spans="2:16" x14ac:dyDescent="0.2">
      <c r="B18" s="48" t="s">
        <v>62</v>
      </c>
      <c r="C18" s="49">
        <f>SUMIF(RawScenario!$A$23:$A$30,'Scenario Metrics'!$B18,RawScenario!$D$23:$D$30)</f>
        <v>468089.96529692301</v>
      </c>
      <c r="D18" s="49">
        <f>SUMIF(RawScenario!$A$23:$A$30,'Scenario Metrics'!$B18,RawScenario!$B$23:$B$30)</f>
        <v>112807.376392962</v>
      </c>
      <c r="E18" s="61">
        <f>RawScenario!G43</f>
        <v>361210</v>
      </c>
      <c r="F18" s="61">
        <f>RawScenario!G63</f>
        <v>82513</v>
      </c>
      <c r="G18" s="62">
        <f t="shared" si="4"/>
        <v>7.5700688769174823E-2</v>
      </c>
      <c r="H18" s="62">
        <f t="shared" si="5"/>
        <v>9.2211326236973715E-2</v>
      </c>
      <c r="I18" s="63">
        <v>25</v>
      </c>
      <c r="J18" s="64">
        <f t="shared" si="3"/>
        <v>11702249.132423075</v>
      </c>
      <c r="K18" s="54"/>
      <c r="L18" s="55" t="s">
        <v>60</v>
      </c>
      <c r="M18" s="56">
        <f>C15/$C$7*$R$15</f>
        <v>30.489865109776456</v>
      </c>
      <c r="N18" s="57">
        <f>D15/$C$8*$R$15</f>
        <v>24.028899413593162</v>
      </c>
      <c r="O18" s="58">
        <f>C15/E15*60</f>
        <v>63.640823612884681</v>
      </c>
      <c r="P18" s="59">
        <f>D15/F15*60</f>
        <v>58.477366703024543</v>
      </c>
    </row>
    <row r="19" spans="2:16" x14ac:dyDescent="0.2">
      <c r="B19" s="48" t="s">
        <v>63</v>
      </c>
      <c r="C19" s="49">
        <f>SUMIF(RawScenario!$A$23:$A$30,'Scenario Metrics'!$B19,RawScenario!$D$23:$D$30)</f>
        <v>1918645.1946376599</v>
      </c>
      <c r="D19" s="49">
        <f>SUMIF(RawScenario!$A$23:$A$30,'Scenario Metrics'!$B19,RawScenario!$B$23:$B$30)</f>
        <v>427432.24555718299</v>
      </c>
      <c r="E19" s="61">
        <f>RawScenario!H43</f>
        <v>1283727</v>
      </c>
      <c r="F19" s="61">
        <f>RawScenario!H63</f>
        <v>266120</v>
      </c>
      <c r="G19" s="62">
        <f t="shared" si="4"/>
        <v>0.26903745215134267</v>
      </c>
      <c r="H19" s="62">
        <f t="shared" si="5"/>
        <v>0.29739893275221413</v>
      </c>
      <c r="I19" s="63">
        <v>25</v>
      </c>
      <c r="J19" s="64">
        <f t="shared" si="3"/>
        <v>47966129.865941495</v>
      </c>
      <c r="K19" s="54"/>
      <c r="L19" s="55" t="s">
        <v>58</v>
      </c>
      <c r="M19" s="65">
        <f>C16/$C$7*$R$15</f>
        <v>13.929469564344496</v>
      </c>
      <c r="N19" s="30">
        <f>D16/$C$8*$R$15</f>
        <v>12.104046625707618</v>
      </c>
      <c r="O19" s="66">
        <f>C16/E16*60</f>
        <v>39.897754380451403</v>
      </c>
      <c r="P19" s="67">
        <f>D16/F16*60</f>
        <v>39.667902820257758</v>
      </c>
    </row>
    <row r="20" spans="2:16" x14ac:dyDescent="0.2">
      <c r="B20" s="68" t="s">
        <v>57</v>
      </c>
      <c r="C20" s="49">
        <f>SUMIF(RawScenario!$A$23:$A$30,'Scenario Metrics'!$B20,RawScenario!$D$23:$D$30)</f>
        <v>212679.511363169</v>
      </c>
      <c r="D20" s="49">
        <f>SUMIF(RawScenario!$A$23:$A$30,'Scenario Metrics'!$B20,RawScenario!$B$23:$B$30)</f>
        <v>49432.984203789601</v>
      </c>
      <c r="E20" s="70">
        <f>RawScenario!B43</f>
        <v>194424</v>
      </c>
      <c r="F20" s="70">
        <f>RawScenario!B63</f>
        <v>43307</v>
      </c>
      <c r="G20" s="71">
        <f t="shared" si="4"/>
        <v>4.0746465250845895E-2</v>
      </c>
      <c r="H20" s="71">
        <f t="shared" si="5"/>
        <v>4.839717263152013E-2</v>
      </c>
      <c r="I20" s="72">
        <v>25</v>
      </c>
      <c r="J20" s="73">
        <f t="shared" si="3"/>
        <v>5316987.7840792248</v>
      </c>
      <c r="K20" s="54"/>
      <c r="L20" s="55" t="s">
        <v>59</v>
      </c>
      <c r="M20" s="65">
        <f>C17/$C$7*$R$15</f>
        <v>8.3526602251437492</v>
      </c>
      <c r="N20" s="30">
        <f>D17/$C$8*$R$15</f>
        <v>5.9928514839846994</v>
      </c>
      <c r="O20" s="66">
        <f>C17/E17*60</f>
        <v>38.456440024031693</v>
      </c>
      <c r="P20" s="67">
        <f>D17/F17*60</f>
        <v>36.49882476080564</v>
      </c>
    </row>
    <row r="21" spans="2:16" x14ac:dyDescent="0.2">
      <c r="B21" s="79"/>
      <c r="C21" s="61"/>
      <c r="D21" s="61"/>
      <c r="E21" s="61"/>
      <c r="F21" s="61"/>
      <c r="G21" s="62"/>
      <c r="H21" s="62"/>
      <c r="I21" s="63"/>
      <c r="J21" s="80"/>
      <c r="K21" s="54"/>
      <c r="L21" s="55" t="s">
        <v>62</v>
      </c>
      <c r="M21" s="65">
        <f>C18/$C$7*$R$15</f>
        <v>5.8860052787435917</v>
      </c>
      <c r="N21" s="30">
        <f>D18/$C$8*$R$15</f>
        <v>7.5639846713913004</v>
      </c>
      <c r="O21" s="66">
        <f>C18/E18*60</f>
        <v>77.753655540586863</v>
      </c>
      <c r="P21" s="67">
        <f>D18/F18*60</f>
        <v>82.028802535088047</v>
      </c>
    </row>
    <row r="22" spans="2:16" x14ac:dyDescent="0.2">
      <c r="B22" s="3" t="s">
        <v>108</v>
      </c>
      <c r="L22" s="55" t="s">
        <v>63</v>
      </c>
      <c r="M22" s="65">
        <f>C19/$C$7*$R$15</f>
        <v>24.126036832491632</v>
      </c>
      <c r="N22" s="30">
        <f>D19/$C$8*$R$15</f>
        <v>28.660279645104886</v>
      </c>
      <c r="O22" s="66">
        <f>C19/E19*60</f>
        <v>89.675384001629311</v>
      </c>
      <c r="P22" s="67">
        <f>D19/F19*60</f>
        <v>96.369813367770107</v>
      </c>
    </row>
    <row r="23" spans="2:16" ht="25.5" x14ac:dyDescent="0.2">
      <c r="B23" s="83" t="s">
        <v>88</v>
      </c>
      <c r="C23" s="84" t="s">
        <v>1</v>
      </c>
      <c r="D23" s="45" t="s">
        <v>2</v>
      </c>
      <c r="E23" s="45" t="s">
        <v>17</v>
      </c>
      <c r="F23" s="46" t="s">
        <v>16</v>
      </c>
      <c r="G23" s="28"/>
      <c r="L23" s="74" t="s">
        <v>57</v>
      </c>
      <c r="M23" s="75">
        <f>C20/$C$7*$R$15</f>
        <v>2.6743421550815492</v>
      </c>
      <c r="N23" s="76">
        <f>D20/$C$8*$R$15</f>
        <v>3.3145911795349661</v>
      </c>
      <c r="O23" s="77">
        <f>C20/E20*60</f>
        <v>65.633721566216835</v>
      </c>
      <c r="P23" s="78">
        <f>D20/F20*60</f>
        <v>68.487289635102314</v>
      </c>
    </row>
    <row r="24" spans="2:16" x14ac:dyDescent="0.2">
      <c r="B24" s="55" t="s">
        <v>0</v>
      </c>
      <c r="C24" s="85">
        <f>SUM(RawScenario!C25:C27)</f>
        <v>14554047.426075071</v>
      </c>
      <c r="D24" s="86">
        <f>SUM(RawScenario!E25:E27)</f>
        <v>2010029.0642228909</v>
      </c>
      <c r="E24" s="52" t="s">
        <v>83</v>
      </c>
      <c r="F24" s="53">
        <f>C24</f>
        <v>14554047.426075071</v>
      </c>
      <c r="G24" s="28"/>
      <c r="J24" s="87"/>
      <c r="N24" s="30"/>
      <c r="O24" s="66"/>
      <c r="P24" s="66"/>
    </row>
    <row r="25" spans="2:16" x14ac:dyDescent="0.2">
      <c r="B25" s="55" t="s">
        <v>22</v>
      </c>
      <c r="C25" s="60">
        <f>F25/E25</f>
        <v>3532685.1484074765</v>
      </c>
      <c r="D25" s="61">
        <f>RawScenario!C84/'Scenario Metrics'!E25</f>
        <v>574286.98412694759</v>
      </c>
      <c r="E25" s="63">
        <v>21</v>
      </c>
      <c r="F25" s="92">
        <f>RawScenario!C83</f>
        <v>74186388.116557002</v>
      </c>
      <c r="G25" s="28"/>
      <c r="L25" s="3" t="s">
        <v>109</v>
      </c>
      <c r="N25" s="81"/>
    </row>
    <row r="26" spans="2:16" ht="25.5" x14ac:dyDescent="0.2">
      <c r="B26" s="55" t="s">
        <v>84</v>
      </c>
      <c r="C26" s="96">
        <f>RawScenario!C29</f>
        <v>880745.29599964595</v>
      </c>
      <c r="D26" s="80">
        <f>RawScenario!E29</f>
        <v>223546.927000111</v>
      </c>
      <c r="E26" s="63" t="s">
        <v>83</v>
      </c>
      <c r="F26" s="64">
        <f>C26</f>
        <v>880745.29599964595</v>
      </c>
      <c r="G26" s="28"/>
      <c r="L26" s="83" t="s">
        <v>129</v>
      </c>
      <c r="M26" s="45" t="s">
        <v>89</v>
      </c>
      <c r="N26" s="45" t="s">
        <v>49</v>
      </c>
      <c r="O26" s="45" t="s">
        <v>69</v>
      </c>
      <c r="P26" s="46" t="s">
        <v>70</v>
      </c>
    </row>
    <row r="27" spans="2:16" x14ac:dyDescent="0.2">
      <c r="B27" s="74" t="s">
        <v>14</v>
      </c>
      <c r="C27" s="99">
        <f>RawScenario!C85</f>
        <v>2694066.30661606</v>
      </c>
      <c r="D27" s="100">
        <f>RawScenario!C86</f>
        <v>306338.96207534499</v>
      </c>
      <c r="E27" s="72" t="s">
        <v>83</v>
      </c>
      <c r="F27" s="73">
        <f>C27</f>
        <v>2694066.30661606</v>
      </c>
      <c r="G27" s="28"/>
      <c r="L27" s="55" t="s">
        <v>0</v>
      </c>
      <c r="M27" s="88">
        <f>C24/$C$7</f>
        <v>3.0501686402179313</v>
      </c>
      <c r="N27" s="89">
        <f>D24/$C$8</f>
        <v>2.2462817469593395</v>
      </c>
      <c r="O27" s="90">
        <f>C24/E15</f>
        <v>6.3665497936040181</v>
      </c>
      <c r="P27" s="91">
        <f>D24/F15</f>
        <v>5.4666108161800935</v>
      </c>
    </row>
    <row r="28" spans="2:16" x14ac:dyDescent="0.2">
      <c r="L28" s="55" t="s">
        <v>22</v>
      </c>
      <c r="M28" s="93">
        <f>C25/C7</f>
        <v>0.74036349751967157</v>
      </c>
      <c r="N28" s="94">
        <f>D25/C8</f>
        <v>0.64178692384203351</v>
      </c>
      <c r="O28" s="26"/>
      <c r="P28" s="95"/>
    </row>
    <row r="29" spans="2:16" x14ac:dyDescent="0.2">
      <c r="B29" s="3" t="s">
        <v>110</v>
      </c>
      <c r="L29" s="55" t="s">
        <v>68</v>
      </c>
      <c r="M29" s="97">
        <f>C26/$C$7</f>
        <v>0.18458244660276282</v>
      </c>
      <c r="N29" s="41">
        <f>D26/$C$8</f>
        <v>0.24982195066086776</v>
      </c>
      <c r="O29" s="98">
        <f>C26/E18</f>
        <v>2.4383192491892416</v>
      </c>
      <c r="P29" s="95"/>
    </row>
    <row r="30" spans="2:16" ht="38.25" x14ac:dyDescent="0.2">
      <c r="B30" s="42" t="s">
        <v>18</v>
      </c>
      <c r="C30" s="45" t="s">
        <v>1</v>
      </c>
      <c r="D30" s="45" t="s">
        <v>2</v>
      </c>
      <c r="E30" s="45" t="s">
        <v>72</v>
      </c>
      <c r="F30" s="46" t="s">
        <v>73</v>
      </c>
      <c r="G30" s="28"/>
      <c r="H30" s="28"/>
      <c r="I30" s="28"/>
      <c r="J30" s="28"/>
      <c r="K30" s="54"/>
      <c r="L30" s="74" t="s">
        <v>14</v>
      </c>
      <c r="M30" s="101">
        <f>C27/$C$7</f>
        <v>0.56460971457230613</v>
      </c>
      <c r="N30" s="102">
        <f>D27/$C$8</f>
        <v>0.34234510890436115</v>
      </c>
      <c r="O30" s="103">
        <f>C27/E15</f>
        <v>1.1784974163003352</v>
      </c>
      <c r="P30" s="104">
        <f>D27/F15</f>
        <v>0.83314013379498331</v>
      </c>
    </row>
    <row r="31" spans="2:16" ht="25.5" x14ac:dyDescent="0.2">
      <c r="B31" s="55" t="s">
        <v>50</v>
      </c>
      <c r="C31" s="105">
        <f>O22</f>
        <v>89.675384001629311</v>
      </c>
      <c r="D31" s="66">
        <f>P22</f>
        <v>96.369813367770107</v>
      </c>
      <c r="E31" s="79"/>
      <c r="F31" s="106"/>
      <c r="G31" s="28"/>
      <c r="H31" s="28"/>
      <c r="I31" s="28"/>
      <c r="J31" s="28"/>
      <c r="K31" s="54"/>
      <c r="O31" s="10"/>
      <c r="P31" s="10"/>
    </row>
    <row r="32" spans="2:16" x14ac:dyDescent="0.2">
      <c r="B32" s="55" t="s">
        <v>11</v>
      </c>
      <c r="C32" s="61">
        <f>E19</f>
        <v>1283727</v>
      </c>
      <c r="D32" s="61">
        <f>F19</f>
        <v>266120</v>
      </c>
      <c r="E32" s="107">
        <f>G19</f>
        <v>0.26903745215134267</v>
      </c>
      <c r="F32" s="108">
        <f>H19</f>
        <v>0.29739893275221413</v>
      </c>
      <c r="G32" s="28"/>
      <c r="H32" s="28"/>
      <c r="I32" s="28"/>
      <c r="J32" s="28"/>
      <c r="K32" s="54"/>
      <c r="O32" s="10"/>
      <c r="P32" s="10"/>
    </row>
    <row r="33" spans="2:16" x14ac:dyDescent="0.2">
      <c r="B33" s="55" t="s">
        <v>12</v>
      </c>
      <c r="C33" s="105">
        <f>O23</f>
        <v>65.633721566216835</v>
      </c>
      <c r="D33" s="66">
        <f>P23</f>
        <v>68.487289635102314</v>
      </c>
      <c r="E33" s="79"/>
      <c r="F33" s="106"/>
      <c r="G33" s="28"/>
      <c r="H33" s="28"/>
      <c r="I33" s="28"/>
      <c r="J33" s="28"/>
      <c r="K33" s="54"/>
      <c r="L33" s="10"/>
      <c r="M33" s="10"/>
      <c r="N33" s="10"/>
      <c r="O33" s="10"/>
      <c r="P33" s="10"/>
    </row>
    <row r="34" spans="2:16" x14ac:dyDescent="0.2">
      <c r="B34" s="74" t="s">
        <v>13</v>
      </c>
      <c r="C34" s="70">
        <f>E20</f>
        <v>194424</v>
      </c>
      <c r="D34" s="70">
        <f>F20</f>
        <v>43307</v>
      </c>
      <c r="E34" s="109">
        <f>G20</f>
        <v>4.0746465250845895E-2</v>
      </c>
      <c r="F34" s="110">
        <f>H20</f>
        <v>4.839717263152013E-2</v>
      </c>
      <c r="G34" s="28"/>
      <c r="H34" s="28"/>
      <c r="I34" s="28"/>
      <c r="J34" s="28"/>
      <c r="K34" s="54"/>
      <c r="L34" s="10"/>
      <c r="M34" s="10"/>
      <c r="N34" s="10"/>
      <c r="O34" s="10"/>
      <c r="P34" s="10"/>
    </row>
    <row r="35" spans="2:16" x14ac:dyDescent="0.2">
      <c r="L35" s="10"/>
      <c r="M35" s="10"/>
      <c r="N35" s="10"/>
    </row>
    <row r="36" spans="2:16" x14ac:dyDescent="0.2">
      <c r="B36" s="3" t="s">
        <v>111</v>
      </c>
      <c r="L36" s="10"/>
      <c r="M36" s="10"/>
      <c r="N36" s="10"/>
    </row>
    <row r="37" spans="2:16" ht="25.5" x14ac:dyDescent="0.2">
      <c r="B37" s="42" t="s">
        <v>20</v>
      </c>
      <c r="C37" s="45" t="s">
        <v>1</v>
      </c>
      <c r="D37" s="45" t="s">
        <v>17</v>
      </c>
      <c r="E37" s="46" t="s">
        <v>16</v>
      </c>
      <c r="G37" s="79"/>
      <c r="H37" s="79"/>
      <c r="I37" s="28"/>
      <c r="J37" s="28"/>
      <c r="K37" s="54"/>
      <c r="L37" s="10"/>
      <c r="M37" s="10"/>
      <c r="N37" s="10"/>
    </row>
    <row r="38" spans="2:16" x14ac:dyDescent="0.2">
      <c r="B38" s="55" t="s">
        <v>3</v>
      </c>
      <c r="C38" s="66">
        <f>SUM(RawScenario!H163:H166)</f>
        <v>60.615841127450153</v>
      </c>
      <c r="D38" s="63">
        <v>75500</v>
      </c>
      <c r="E38" s="64">
        <f>D38*C38</f>
        <v>4576496.0051224865</v>
      </c>
      <c r="F38" s="28"/>
      <c r="G38" s="28"/>
      <c r="H38" s="28"/>
      <c r="I38" s="28"/>
      <c r="J38" s="28"/>
      <c r="K38" s="54"/>
      <c r="O38" s="10"/>
      <c r="P38" s="10"/>
    </row>
    <row r="39" spans="2:16" x14ac:dyDescent="0.2">
      <c r="B39" s="55" t="s">
        <v>4</v>
      </c>
      <c r="C39" s="66">
        <f>SUM(RawScenario!G163:G166)</f>
        <v>115.69065779010522</v>
      </c>
      <c r="D39" s="63">
        <v>2600</v>
      </c>
      <c r="E39" s="64">
        <f>D39*C39</f>
        <v>300795.71025427355</v>
      </c>
      <c r="F39" s="28"/>
      <c r="G39" s="28"/>
      <c r="H39" s="28"/>
      <c r="I39" s="28"/>
      <c r="J39" s="28"/>
      <c r="K39" s="54"/>
      <c r="O39" s="10"/>
      <c r="P39" s="10"/>
    </row>
    <row r="40" spans="2:16" x14ac:dyDescent="0.2">
      <c r="B40" s="74" t="s">
        <v>5</v>
      </c>
      <c r="C40" s="111">
        <f>SUM(RawScenario!I163:I166)</f>
        <v>1.1214136707411464</v>
      </c>
      <c r="D40" s="100">
        <f>2500000</f>
        <v>2500000</v>
      </c>
      <c r="E40" s="73">
        <f>D40*C40</f>
        <v>2803534.1768528661</v>
      </c>
      <c r="F40" s="28"/>
      <c r="G40" s="28"/>
      <c r="H40" s="28"/>
      <c r="I40" s="28"/>
      <c r="J40" s="28"/>
      <c r="K40" s="54"/>
      <c r="L40" s="28"/>
      <c r="M40" s="28"/>
      <c r="O40" s="10"/>
      <c r="P40" s="10"/>
    </row>
    <row r="41" spans="2:16" x14ac:dyDescent="0.2">
      <c r="B41" s="79"/>
      <c r="C41" s="105"/>
      <c r="D41" s="80"/>
      <c r="E41" s="80"/>
      <c r="F41" s="28"/>
      <c r="G41" s="28"/>
      <c r="H41" s="28"/>
      <c r="I41" s="28"/>
      <c r="J41" s="28"/>
      <c r="K41" s="54"/>
      <c r="L41" s="28"/>
      <c r="M41" s="28"/>
      <c r="N41" s="10"/>
      <c r="O41" s="10"/>
      <c r="P41" s="10"/>
    </row>
    <row r="42" spans="2:16" x14ac:dyDescent="0.2">
      <c r="B42" s="3" t="s">
        <v>113</v>
      </c>
      <c r="L42" s="28"/>
      <c r="M42" s="28"/>
      <c r="N42" s="10"/>
    </row>
    <row r="43" spans="2:16" ht="25.5" x14ac:dyDescent="0.2">
      <c r="B43" s="112" t="s">
        <v>71</v>
      </c>
      <c r="C43" s="44" t="s">
        <v>1</v>
      </c>
      <c r="D43" s="44" t="s">
        <v>17</v>
      </c>
      <c r="E43" s="113" t="s">
        <v>16</v>
      </c>
      <c r="G43" s="79"/>
      <c r="H43" s="79"/>
      <c r="I43" s="28"/>
      <c r="J43" s="28"/>
      <c r="K43" s="54"/>
      <c r="L43" s="28"/>
      <c r="M43" s="28"/>
      <c r="N43" s="10"/>
    </row>
    <row r="44" spans="2:16" x14ac:dyDescent="0.2">
      <c r="B44" s="55" t="s">
        <v>6</v>
      </c>
      <c r="C44" s="66">
        <f>SUM(RawScenario!B123:E123)</f>
        <v>47185.863273364477</v>
      </c>
      <c r="D44" s="114">
        <v>55.34</v>
      </c>
      <c r="E44" s="64">
        <f>D44*C44</f>
        <v>2611265.6735479902</v>
      </c>
      <c r="G44" s="79"/>
      <c r="H44" s="142"/>
      <c r="I44" s="28"/>
      <c r="J44" s="28"/>
      <c r="K44" s="54"/>
      <c r="L44" s="28"/>
      <c r="M44" s="28"/>
      <c r="N44" s="10"/>
    </row>
    <row r="45" spans="2:16" x14ac:dyDescent="0.2">
      <c r="B45" s="55" t="s">
        <v>7</v>
      </c>
      <c r="C45" s="66">
        <f>SUM(RawScenario!B124:E124)</f>
        <v>1215.6403191349568</v>
      </c>
      <c r="D45" s="114">
        <v>380</v>
      </c>
      <c r="E45" s="64">
        <f>D45*C45</f>
        <v>461943.32127128361</v>
      </c>
      <c r="G45" s="79"/>
      <c r="H45" s="142"/>
      <c r="I45" s="28"/>
      <c r="J45" s="28"/>
      <c r="K45" s="54"/>
    </row>
    <row r="46" spans="2:16" x14ac:dyDescent="0.2">
      <c r="B46" s="55" t="s">
        <v>8</v>
      </c>
      <c r="C46" s="66">
        <f>SUM(RawScenario!B125:E125)</f>
        <v>39.3866095858912</v>
      </c>
      <c r="D46" s="114">
        <v>9800</v>
      </c>
      <c r="E46" s="64">
        <f>D46*C46</f>
        <v>385988.77394173376</v>
      </c>
      <c r="G46" s="79"/>
      <c r="H46" s="142"/>
      <c r="I46" s="28"/>
      <c r="J46" s="28"/>
      <c r="K46" s="54"/>
      <c r="L46" s="28"/>
      <c r="M46" s="28"/>
    </row>
    <row r="47" spans="2:16" x14ac:dyDescent="0.2">
      <c r="B47" s="55" t="s">
        <v>9</v>
      </c>
      <c r="C47" s="66">
        <f>SUM(RawScenario!B126:E126)</f>
        <v>1.2554402917713037</v>
      </c>
      <c r="D47" s="114">
        <v>7800</v>
      </c>
      <c r="E47" s="64">
        <f>D47*C47</f>
        <v>9792.4342758161692</v>
      </c>
      <c r="G47" s="79"/>
      <c r="H47" s="142"/>
      <c r="I47" s="28"/>
      <c r="J47" s="28"/>
      <c r="K47" s="54"/>
      <c r="L47" s="28"/>
      <c r="M47" s="28"/>
    </row>
    <row r="48" spans="2:16" x14ac:dyDescent="0.2">
      <c r="B48" s="74" t="s">
        <v>10</v>
      </c>
      <c r="C48" s="77">
        <f>SUM(RawScenario!B127:E127)</f>
        <v>49.1008664062973</v>
      </c>
      <c r="D48" s="115">
        <v>6500</v>
      </c>
      <c r="E48" s="73">
        <f>D48*C48</f>
        <v>319155.63164093246</v>
      </c>
      <c r="G48" s="79"/>
      <c r="H48" s="142"/>
      <c r="I48" s="28"/>
      <c r="J48" s="28"/>
      <c r="K48" s="54"/>
      <c r="L48" s="28"/>
      <c r="M48" s="28"/>
    </row>
    <row r="49" spans="2:16" x14ac:dyDescent="0.2">
      <c r="B49" s="79"/>
      <c r="C49" s="79"/>
      <c r="D49" s="79"/>
      <c r="E49" s="79"/>
      <c r="F49" s="79"/>
      <c r="G49" s="79"/>
      <c r="H49" s="79"/>
      <c r="I49" s="28"/>
      <c r="J49" s="28"/>
      <c r="K49" s="54"/>
      <c r="L49" s="28"/>
      <c r="M49" s="28"/>
    </row>
    <row r="50" spans="2:16" s="116" customFormat="1" x14ac:dyDescent="0.2">
      <c r="B50" s="3" t="s">
        <v>112</v>
      </c>
      <c r="C50" s="14"/>
      <c r="D50" s="14"/>
      <c r="E50" s="14"/>
      <c r="F50" s="14"/>
      <c r="G50" s="14"/>
      <c r="H50" s="14"/>
      <c r="I50" s="14"/>
      <c r="J50" s="14"/>
      <c r="K50" s="29"/>
      <c r="L50" s="28"/>
      <c r="M50" s="28"/>
      <c r="N50" s="28"/>
      <c r="O50" s="117"/>
      <c r="P50" s="117"/>
    </row>
    <row r="51" spans="2:16" ht="25.5" x14ac:dyDescent="0.2">
      <c r="B51" s="42" t="s">
        <v>19</v>
      </c>
      <c r="C51" s="45" t="s">
        <v>1</v>
      </c>
      <c r="D51" s="45"/>
      <c r="E51" s="45" t="s">
        <v>17</v>
      </c>
      <c r="F51" s="46" t="s">
        <v>16</v>
      </c>
      <c r="G51" s="79"/>
      <c r="H51" s="79"/>
      <c r="L51" s="28"/>
      <c r="M51" s="28"/>
    </row>
    <row r="52" spans="2:16" x14ac:dyDescent="0.2">
      <c r="B52" s="55" t="s">
        <v>158</v>
      </c>
      <c r="C52" s="61">
        <f>RawScenario!F183</f>
        <v>144472.95410100001</v>
      </c>
      <c r="D52" s="79"/>
      <c r="E52" s="169">
        <v>49</v>
      </c>
      <c r="F52" s="64">
        <f>C52*E52</f>
        <v>7079174.7509490009</v>
      </c>
      <c r="G52" s="79"/>
      <c r="H52" s="79"/>
      <c r="L52" s="28"/>
      <c r="M52" s="28"/>
    </row>
    <row r="53" spans="2:16" x14ac:dyDescent="0.2">
      <c r="B53" s="55" t="s">
        <v>176</v>
      </c>
      <c r="C53" s="61">
        <f>RawScenario!G183</f>
        <v>5477134.34375</v>
      </c>
      <c r="D53" s="79"/>
      <c r="E53" s="169">
        <v>0.99</v>
      </c>
      <c r="F53" s="64">
        <f t="shared" ref="F53:F57" si="6">C53*E53</f>
        <v>5422363.0003124997</v>
      </c>
      <c r="G53" s="79"/>
      <c r="H53" s="79"/>
      <c r="L53" s="14"/>
      <c r="M53" s="14"/>
      <c r="N53" s="117"/>
    </row>
    <row r="54" spans="2:16" x14ac:dyDescent="0.2">
      <c r="B54" s="55" t="s">
        <v>159</v>
      </c>
      <c r="C54" s="61">
        <f>RawScenario!E183</f>
        <v>795039.72656500002</v>
      </c>
      <c r="D54" s="79"/>
      <c r="E54" s="170">
        <v>1</v>
      </c>
      <c r="F54" s="64">
        <f t="shared" si="6"/>
        <v>795039.72656500002</v>
      </c>
      <c r="G54" s="79"/>
      <c r="H54" s="79"/>
    </row>
    <row r="55" spans="2:16" x14ac:dyDescent="0.2">
      <c r="B55" s="55" t="s">
        <v>160</v>
      </c>
      <c r="C55" s="61">
        <f>RawScenario!C183</f>
        <v>63885.935852000002</v>
      </c>
      <c r="D55" s="79"/>
      <c r="E55" s="169">
        <v>54.45</v>
      </c>
      <c r="F55" s="64">
        <f t="shared" si="6"/>
        <v>3478589.2071414003</v>
      </c>
    </row>
    <row r="56" spans="2:16" x14ac:dyDescent="0.2">
      <c r="B56" s="55" t="s">
        <v>177</v>
      </c>
      <c r="C56" s="61">
        <f>RawScenario!D183</f>
        <v>2622889.953125</v>
      </c>
      <c r="D56" s="79"/>
      <c r="E56" s="169">
        <v>0.99</v>
      </c>
      <c r="F56" s="64">
        <f t="shared" si="6"/>
        <v>2596661.0535937501</v>
      </c>
    </row>
    <row r="57" spans="2:16" x14ac:dyDescent="0.2">
      <c r="B57" s="74" t="s">
        <v>161</v>
      </c>
      <c r="C57" s="70">
        <f>RawScenario!B183</f>
        <v>978235.26171700004</v>
      </c>
      <c r="D57" s="118"/>
      <c r="E57" s="118">
        <v>1</v>
      </c>
      <c r="F57" s="73">
        <f t="shared" si="6"/>
        <v>978235.26171700004</v>
      </c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B26" sqref="B26:B31"/>
    </sheetView>
  </sheetViews>
  <sheetFormatPr defaultRowHeight="15" x14ac:dyDescent="0.25"/>
  <cols>
    <col min="1" max="1" width="32.85546875" customWidth="1"/>
    <col min="2" max="2" width="12.28515625" bestFit="1" customWidth="1"/>
    <col min="3" max="3" width="12.7109375" bestFit="1" customWidth="1"/>
    <col min="4" max="4" width="17.5703125" customWidth="1"/>
    <col min="7" max="8" width="9.85546875" bestFit="1" customWidth="1"/>
  </cols>
  <sheetData>
    <row r="1" spans="1:10" x14ac:dyDescent="0.25">
      <c r="G1" t="s">
        <v>155</v>
      </c>
    </row>
    <row r="2" spans="1:10" ht="51.75" x14ac:dyDescent="0.25">
      <c r="A2" s="42" t="s">
        <v>71</v>
      </c>
      <c r="B2" s="45" t="s">
        <v>146</v>
      </c>
      <c r="C2" s="147" t="s">
        <v>147</v>
      </c>
      <c r="D2" s="148" t="s">
        <v>148</v>
      </c>
      <c r="F2" s="42" t="s">
        <v>71</v>
      </c>
      <c r="G2" s="154" t="s">
        <v>146</v>
      </c>
      <c r="H2" s="148" t="s">
        <v>147</v>
      </c>
      <c r="I2" s="148" t="s">
        <v>148</v>
      </c>
      <c r="J2" s="156" t="s">
        <v>156</v>
      </c>
    </row>
    <row r="3" spans="1:10" x14ac:dyDescent="0.25">
      <c r="A3" s="55" t="s">
        <v>6</v>
      </c>
      <c r="B3" s="149">
        <f>'Baseline Metrics'!C46</f>
        <v>53018.134373881781</v>
      </c>
      <c r="C3" s="143">
        <f>'Scenario Metrics'!C44</f>
        <v>47185.863273364477</v>
      </c>
      <c r="D3" s="145">
        <f>B3-C3</f>
        <v>5832.2711005173041</v>
      </c>
      <c r="F3" s="154" t="s">
        <v>6</v>
      </c>
      <c r="G3" s="157">
        <f>B3/'Baseline Metrics'!$C$9*300</f>
        <v>3.3333871897451739</v>
      </c>
      <c r="H3" s="157">
        <f>C3/'Scenario Metrics'!$C$7*300</f>
        <v>2.9666972259586957</v>
      </c>
      <c r="I3" s="158">
        <f>H3-G3</f>
        <v>-0.36668996378647822</v>
      </c>
    </row>
    <row r="4" spans="1:10" x14ac:dyDescent="0.25">
      <c r="A4" s="55" t="s">
        <v>7</v>
      </c>
      <c r="B4" s="150">
        <f>'Baseline Metrics'!C47</f>
        <v>1204.0604488568922</v>
      </c>
      <c r="C4" s="143">
        <f>'Scenario Metrics'!C45</f>
        <v>1215.6403191349568</v>
      </c>
      <c r="D4" s="145">
        <f t="shared" ref="D4:D7" si="0">B4-C4</f>
        <v>-11.579870278064618</v>
      </c>
      <c r="F4" s="154" t="s">
        <v>7</v>
      </c>
      <c r="G4" s="157">
        <f>B4/'Baseline Metrics'!$C$9*300</f>
        <v>7.5702393592249839E-2</v>
      </c>
      <c r="H4" s="157">
        <f>C4/'Scenario Metrics'!$C$7*300</f>
        <v>7.6430449977101189E-2</v>
      </c>
      <c r="I4" s="158">
        <f t="shared" ref="I4:I7" si="1">G4-H4</f>
        <v>-7.2805638485134994E-4</v>
      </c>
      <c r="J4" s="1"/>
    </row>
    <row r="5" spans="1:10" x14ac:dyDescent="0.25">
      <c r="A5" s="55" t="s">
        <v>8</v>
      </c>
      <c r="B5" s="150">
        <f>'Baseline Metrics'!C48</f>
        <v>39.978148399217645</v>
      </c>
      <c r="C5" s="143">
        <f>'Scenario Metrics'!C46</f>
        <v>39.3866095858912</v>
      </c>
      <c r="D5" s="145">
        <f t="shared" si="0"/>
        <v>0.59153881332644431</v>
      </c>
      <c r="F5" s="154" t="s">
        <v>8</v>
      </c>
      <c r="G5" s="157">
        <f>B5/'Baseline Metrics'!$C$9*300</f>
        <v>2.5135295558293457E-3</v>
      </c>
      <c r="H5" s="157">
        <f>C5/'Scenario Metrics'!$C$7*300</f>
        <v>2.4763379811753947E-3</v>
      </c>
      <c r="I5" s="158">
        <f t="shared" si="1"/>
        <v>3.7191574653950947E-5</v>
      </c>
      <c r="J5" s="1"/>
    </row>
    <row r="6" spans="1:10" x14ac:dyDescent="0.25">
      <c r="A6" s="55" t="s">
        <v>9</v>
      </c>
      <c r="B6" s="150">
        <f>'Baseline Metrics'!C49</f>
        <v>1.3520565533167224</v>
      </c>
      <c r="C6" s="143">
        <f>'Scenario Metrics'!C47</f>
        <v>1.2554402917713037</v>
      </c>
      <c r="D6" s="145">
        <f t="shared" si="0"/>
        <v>9.6616261545418691E-2</v>
      </c>
      <c r="F6" s="154" t="s">
        <v>9</v>
      </c>
      <c r="G6" s="157">
        <f>B6/'Baseline Metrics'!$C$9*300</f>
        <v>8.5007291332703209E-5</v>
      </c>
      <c r="H6" s="157">
        <f>C6/'Scenario Metrics'!$C$7*300</f>
        <v>7.8932777162034416E-5</v>
      </c>
      <c r="I6" s="158">
        <f t="shared" si="1"/>
        <v>6.0745141706687931E-6</v>
      </c>
      <c r="J6" s="1"/>
    </row>
    <row r="7" spans="1:10" x14ac:dyDescent="0.25">
      <c r="A7" s="74" t="s">
        <v>10</v>
      </c>
      <c r="B7" s="151">
        <f>'Baseline Metrics'!C50</f>
        <v>50.136343501347</v>
      </c>
      <c r="C7" s="144">
        <f>'Scenario Metrics'!C48</f>
        <v>49.1008664062973</v>
      </c>
      <c r="D7" s="146">
        <f t="shared" si="0"/>
        <v>1.0354770950496999</v>
      </c>
      <c r="F7" s="154" t="s">
        <v>10</v>
      </c>
      <c r="G7" s="157">
        <f>B7/'Baseline Metrics'!$C$9*300</f>
        <v>3.1522015465407188E-3</v>
      </c>
      <c r="H7" s="157">
        <f>C7/'Scenario Metrics'!$C$7*300</f>
        <v>3.0870984242849951E-3</v>
      </c>
      <c r="I7" s="158">
        <f t="shared" si="1"/>
        <v>6.5103122255723723E-5</v>
      </c>
      <c r="J7" s="1"/>
    </row>
    <row r="10" spans="1:10" ht="51.75" x14ac:dyDescent="0.25">
      <c r="A10" s="42" t="s">
        <v>71</v>
      </c>
      <c r="B10" s="45" t="s">
        <v>146</v>
      </c>
      <c r="C10" s="147" t="s">
        <v>147</v>
      </c>
      <c r="D10" s="148" t="s">
        <v>148</v>
      </c>
      <c r="F10" s="42" t="s">
        <v>71</v>
      </c>
      <c r="G10" s="45" t="s">
        <v>146</v>
      </c>
      <c r="H10" s="147" t="s">
        <v>147</v>
      </c>
      <c r="I10" s="148" t="s">
        <v>148</v>
      </c>
    </row>
    <row r="11" spans="1:10" x14ac:dyDescent="0.25">
      <c r="A11" s="55" t="s">
        <v>149</v>
      </c>
      <c r="B11" s="152">
        <f>'Baseline Metrics'!E46</f>
        <v>2934023.5562506178</v>
      </c>
      <c r="C11" s="153">
        <f>'Scenario Metrics'!E44</f>
        <v>2611265.6735479902</v>
      </c>
      <c r="D11" s="145">
        <f>B11-C11</f>
        <v>322757.88270262768</v>
      </c>
      <c r="F11" s="55" t="s">
        <v>149</v>
      </c>
      <c r="G11" s="152">
        <f>ROUND(B11,-3)</f>
        <v>2934000</v>
      </c>
      <c r="H11" s="152">
        <f t="shared" ref="H11:H15" si="2">ROUND(C11,-3)</f>
        <v>2611000</v>
      </c>
      <c r="I11" s="152">
        <f t="shared" ref="I11:I15" si="3">ROUND(D11,-3)</f>
        <v>323000</v>
      </c>
    </row>
    <row r="12" spans="1:10" x14ac:dyDescent="0.25">
      <c r="A12" s="55" t="s">
        <v>150</v>
      </c>
      <c r="B12" s="152">
        <f>'Baseline Metrics'!E47</f>
        <v>457542.97056561906</v>
      </c>
      <c r="C12" s="153">
        <f>'Scenario Metrics'!E45</f>
        <v>461943.32127128361</v>
      </c>
      <c r="D12" s="145">
        <f t="shared" ref="D12:D15" si="4">B12-C12</f>
        <v>-4400.3507056645467</v>
      </c>
      <c r="F12" s="55" t="s">
        <v>150</v>
      </c>
      <c r="G12" s="152">
        <f t="shared" ref="G12:G15" si="5">ROUND(B12,-3)</f>
        <v>458000</v>
      </c>
      <c r="H12" s="152">
        <f t="shared" si="2"/>
        <v>462000</v>
      </c>
      <c r="I12" s="152">
        <f t="shared" si="3"/>
        <v>-4000</v>
      </c>
    </row>
    <row r="13" spans="1:10" x14ac:dyDescent="0.25">
      <c r="A13" s="55" t="s">
        <v>151</v>
      </c>
      <c r="B13" s="152">
        <f>'Baseline Metrics'!E48</f>
        <v>391785.85431233293</v>
      </c>
      <c r="C13" s="153">
        <f>'Scenario Metrics'!E46</f>
        <v>385988.77394173376</v>
      </c>
      <c r="D13" s="145">
        <f t="shared" si="4"/>
        <v>5797.0803705991711</v>
      </c>
      <c r="F13" s="55" t="s">
        <v>151</v>
      </c>
      <c r="G13" s="152">
        <f t="shared" si="5"/>
        <v>392000</v>
      </c>
      <c r="H13" s="152">
        <f t="shared" si="2"/>
        <v>386000</v>
      </c>
      <c r="I13" s="152">
        <f t="shared" si="3"/>
        <v>6000</v>
      </c>
    </row>
    <row r="14" spans="1:10" x14ac:dyDescent="0.25">
      <c r="A14" s="55" t="s">
        <v>152</v>
      </c>
      <c r="B14" s="152">
        <f>'Baseline Metrics'!E49</f>
        <v>10546.041115870434</v>
      </c>
      <c r="C14" s="153">
        <f>'Scenario Metrics'!E47</f>
        <v>9792.4342758161692</v>
      </c>
      <c r="D14" s="145">
        <f t="shared" si="4"/>
        <v>753.60684005426447</v>
      </c>
      <c r="F14" s="55" t="s">
        <v>152</v>
      </c>
      <c r="G14" s="152">
        <f t="shared" si="5"/>
        <v>11000</v>
      </c>
      <c r="H14" s="152">
        <f t="shared" si="2"/>
        <v>10000</v>
      </c>
      <c r="I14" s="152">
        <f t="shared" si="3"/>
        <v>1000</v>
      </c>
    </row>
    <row r="15" spans="1:10" x14ac:dyDescent="0.25">
      <c r="A15" s="74" t="s">
        <v>153</v>
      </c>
      <c r="B15" s="152">
        <f>'Baseline Metrics'!E50</f>
        <v>325886.2327587555</v>
      </c>
      <c r="C15" s="153">
        <f>'Scenario Metrics'!E48</f>
        <v>319155.63164093246</v>
      </c>
      <c r="D15" s="146">
        <f t="shared" si="4"/>
        <v>6730.6011178230401</v>
      </c>
      <c r="F15" s="74" t="s">
        <v>153</v>
      </c>
      <c r="G15" s="152">
        <f t="shared" si="5"/>
        <v>326000</v>
      </c>
      <c r="H15" s="152">
        <f t="shared" si="2"/>
        <v>319000</v>
      </c>
      <c r="I15" s="152">
        <f t="shared" si="3"/>
        <v>7000</v>
      </c>
    </row>
    <row r="18" spans="1:9" ht="39" x14ac:dyDescent="0.25">
      <c r="A18" s="154" t="s">
        <v>154</v>
      </c>
      <c r="B18" s="45" t="s">
        <v>146</v>
      </c>
      <c r="C18" s="155" t="s">
        <v>147</v>
      </c>
      <c r="D18" s="148" t="s">
        <v>148</v>
      </c>
      <c r="F18" s="154" t="s">
        <v>157</v>
      </c>
      <c r="G18" s="45" t="s">
        <v>146</v>
      </c>
      <c r="H18" s="155" t="s">
        <v>147</v>
      </c>
      <c r="I18" s="148" t="s">
        <v>148</v>
      </c>
    </row>
    <row r="19" spans="1:9" ht="26.25" x14ac:dyDescent="0.25">
      <c r="A19" s="55" t="s">
        <v>3</v>
      </c>
      <c r="B19" s="149">
        <f>'Baseline Metrics'!C40</f>
        <v>59.932067738659669</v>
      </c>
      <c r="C19" s="143">
        <f>'Scenario Metrics'!C38</f>
        <v>60.615841127450153</v>
      </c>
      <c r="D19" s="145">
        <f>B19-C19</f>
        <v>-0.68377338879048466</v>
      </c>
      <c r="F19" s="55" t="s">
        <v>3</v>
      </c>
      <c r="G19" s="149">
        <f>B19/'Baseline Metrics'!$C$9</f>
        <v>1.2560280189300902E-5</v>
      </c>
      <c r="H19" s="149" t="e">
        <f>C19/'Baseline Metrics'!D9</f>
        <v>#DIV/0!</v>
      </c>
      <c r="I19" s="145" t="e">
        <f>G19-H19</f>
        <v>#DIV/0!</v>
      </c>
    </row>
    <row r="20" spans="1:9" ht="39" x14ac:dyDescent="0.25">
      <c r="A20" s="55" t="s">
        <v>4</v>
      </c>
      <c r="B20" s="150">
        <f>'Baseline Metrics'!C41</f>
        <v>113.71842070871726</v>
      </c>
      <c r="C20" s="143">
        <f>'Scenario Metrics'!C39</f>
        <v>115.69065779010522</v>
      </c>
      <c r="D20" s="145">
        <f t="shared" ref="D20:D21" si="6">B20-C20</f>
        <v>-1.9722370813879593</v>
      </c>
      <c r="F20" s="55" t="s">
        <v>4</v>
      </c>
      <c r="G20" s="149">
        <f>B20/'Baseline Metrics'!$C$9</f>
        <v>2.3832570453178735E-5</v>
      </c>
      <c r="H20" s="149" t="e">
        <f>C20/'Baseline Metrics'!D10</f>
        <v>#DIV/0!</v>
      </c>
      <c r="I20" s="145" t="e">
        <f t="shared" ref="I20:I21" si="7">G20-H20</f>
        <v>#DIV/0!</v>
      </c>
    </row>
    <row r="21" spans="1:9" ht="26.25" x14ac:dyDescent="0.25">
      <c r="A21" s="74" t="s">
        <v>5</v>
      </c>
      <c r="B21" s="151">
        <f>'Baseline Metrics'!C42</f>
        <v>1.1089193490662854</v>
      </c>
      <c r="C21" s="144">
        <f>'Scenario Metrics'!C40</f>
        <v>1.1214136707411464</v>
      </c>
      <c r="D21" s="146">
        <f t="shared" si="6"/>
        <v>-1.2494321674860975E-2</v>
      </c>
      <c r="F21" s="74" t="s">
        <v>5</v>
      </c>
      <c r="G21" s="149">
        <f>B21/'Baseline Metrics'!$C$9</f>
        <v>2.3240208885075944E-7</v>
      </c>
      <c r="H21" s="149" t="e">
        <f>C21/'Baseline Metrics'!D11</f>
        <v>#DIV/0!</v>
      </c>
      <c r="I21" s="146" t="e">
        <f t="shared" si="7"/>
        <v>#DIV/0!</v>
      </c>
    </row>
    <row r="25" spans="1:9" x14ac:dyDescent="0.25">
      <c r="A25" s="119" t="s">
        <v>93</v>
      </c>
      <c r="B25" s="120" t="s">
        <v>162</v>
      </c>
      <c r="C25" s="161" t="s">
        <v>163</v>
      </c>
    </row>
    <row r="26" spans="1:9" x14ac:dyDescent="0.25">
      <c r="A26" s="122" t="s">
        <v>164</v>
      </c>
      <c r="B26" s="24"/>
      <c r="C26" s="162"/>
    </row>
    <row r="27" spans="1:9" x14ac:dyDescent="0.25">
      <c r="A27" s="122" t="s">
        <v>165</v>
      </c>
      <c r="B27" s="24"/>
      <c r="C27" s="162"/>
    </row>
    <row r="28" spans="1:9" s="1" customFormat="1" x14ac:dyDescent="0.25">
      <c r="A28" s="122" t="s">
        <v>167</v>
      </c>
      <c r="B28" s="24"/>
      <c r="C28" s="162"/>
    </row>
    <row r="29" spans="1:9" s="1" customFormat="1" x14ac:dyDescent="0.25">
      <c r="A29" s="122" t="s">
        <v>166</v>
      </c>
      <c r="B29" s="24"/>
      <c r="C29" s="162"/>
    </row>
    <row r="30" spans="1:9" x14ac:dyDescent="0.25">
      <c r="A30" s="122" t="s">
        <v>101</v>
      </c>
      <c r="B30" s="24"/>
      <c r="C30" s="162"/>
    </row>
    <row r="31" spans="1:9" x14ac:dyDescent="0.25">
      <c r="A31" s="122" t="s">
        <v>84</v>
      </c>
      <c r="B31" s="24"/>
      <c r="C31" s="162"/>
    </row>
    <row r="32" spans="1:9" x14ac:dyDescent="0.25">
      <c r="A32" s="122" t="s">
        <v>94</v>
      </c>
      <c r="B32" s="24"/>
      <c r="C32" s="162"/>
    </row>
    <row r="33" spans="1:3" x14ac:dyDescent="0.25">
      <c r="A33" s="122" t="s">
        <v>97</v>
      </c>
      <c r="B33" s="24"/>
      <c r="C33" s="162"/>
    </row>
    <row r="34" spans="1:3" x14ac:dyDescent="0.25">
      <c r="A34" s="124" t="s">
        <v>98</v>
      </c>
      <c r="B34" s="39"/>
      <c r="C34" s="163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M8" sqref="M8"/>
    </sheetView>
  </sheetViews>
  <sheetFormatPr defaultRowHeight="14.25" x14ac:dyDescent="0.2"/>
  <cols>
    <col min="1" max="1" width="4.140625" style="10" customWidth="1"/>
    <col min="2" max="2" width="30.85546875" style="81" customWidth="1"/>
    <col min="3" max="3" width="15.140625" style="81" customWidth="1"/>
    <col min="4" max="4" width="15.85546875" style="81" bestFit="1" customWidth="1"/>
    <col min="5" max="5" width="11" style="81" customWidth="1"/>
    <col min="6" max="6" width="12.7109375" style="81" customWidth="1"/>
    <col min="7" max="9" width="11" style="81" customWidth="1"/>
    <col min="10" max="10" width="14.7109375" style="81" bestFit="1" customWidth="1"/>
    <col min="11" max="11" width="4" style="82" customWidth="1"/>
    <col min="12" max="12" width="25.28515625" style="81" customWidth="1"/>
    <col min="13" max="13" width="13.5703125" style="81" bestFit="1" customWidth="1"/>
    <col min="14" max="14" width="19.42578125" style="28" customWidth="1"/>
    <col min="15" max="15" width="17.5703125" style="28" customWidth="1"/>
    <col min="16" max="16" width="15.85546875" style="28" bestFit="1" customWidth="1"/>
    <col min="17" max="17" width="4.5703125" style="10" customWidth="1"/>
    <col min="18" max="16384" width="9.140625" style="10"/>
  </cols>
  <sheetData>
    <row r="1" spans="1:20" s="7" customFormat="1" ht="26.25" thickBot="1" x14ac:dyDescent="0.4">
      <c r="A1" s="4" t="s">
        <v>126</v>
      </c>
      <c r="B1" s="5"/>
      <c r="C1" s="6"/>
      <c r="D1" s="6"/>
      <c r="E1" s="6"/>
      <c r="F1" s="6"/>
      <c r="G1" s="6"/>
      <c r="H1" s="6"/>
      <c r="I1" s="6"/>
      <c r="J1" s="6"/>
      <c r="K1" s="5"/>
      <c r="L1" s="6"/>
      <c r="M1" s="6"/>
    </row>
    <row r="2" spans="1:20" s="8" customFormat="1" ht="21" customHeight="1" thickBot="1" x14ac:dyDescent="0.3">
      <c r="B2" s="9" t="s">
        <v>104</v>
      </c>
      <c r="L2" s="3" t="s">
        <v>106</v>
      </c>
    </row>
    <row r="3" spans="1:20" ht="26.25" x14ac:dyDescent="0.25">
      <c r="B3" s="11" t="s">
        <v>121</v>
      </c>
      <c r="C3" s="12">
        <f>'Scenario Metrics'!C3-'Baseline Metrics'!C3</f>
        <v>-2025444.2022343874</v>
      </c>
      <c r="D3" s="13"/>
      <c r="E3" s="10"/>
      <c r="F3" s="14" t="s">
        <v>82</v>
      </c>
      <c r="G3" s="15"/>
      <c r="H3" s="14"/>
      <c r="I3" s="14"/>
      <c r="J3" s="10"/>
      <c r="K3" s="16"/>
      <c r="L3" s="174" t="s">
        <v>93</v>
      </c>
      <c r="M3" s="120" t="s">
        <v>174</v>
      </c>
      <c r="N3" s="166" t="s">
        <v>175</v>
      </c>
      <c r="O3" s="121" t="s">
        <v>100</v>
      </c>
      <c r="P3" s="10"/>
    </row>
    <row r="4" spans="1:20" ht="15" x14ac:dyDescent="0.25">
      <c r="B4" s="20" t="s">
        <v>122</v>
      </c>
      <c r="C4" s="21">
        <f>'Scenario Metrics'!C4-'Baseline Metrics'!C4</f>
        <v>-0.42448304635163225</v>
      </c>
      <c r="D4" s="22"/>
      <c r="E4" s="14"/>
      <c r="F4" s="14" t="s">
        <v>81</v>
      </c>
      <c r="G4" s="15"/>
      <c r="H4" s="14"/>
      <c r="I4" s="14"/>
      <c r="J4" s="10"/>
      <c r="K4" s="16"/>
      <c r="L4" s="23" t="s">
        <v>164</v>
      </c>
      <c r="M4" s="24">
        <f>SUM(J15:J20)</f>
        <v>-1028236.1564648782</v>
      </c>
      <c r="N4" s="167">
        <f>-M4</f>
        <v>1028236.1564648782</v>
      </c>
      <c r="O4" s="25">
        <f>'Scenario Metrics'!N4-'Baseline Metrics'!N4</f>
        <v>-0.21549288575000247</v>
      </c>
      <c r="P4" s="10"/>
    </row>
    <row r="5" spans="1:20" x14ac:dyDescent="0.2">
      <c r="B5" s="20" t="s">
        <v>123</v>
      </c>
      <c r="C5" s="26"/>
      <c r="D5" s="27"/>
      <c r="E5" s="14"/>
      <c r="F5" s="28"/>
      <c r="G5" s="28"/>
      <c r="H5" s="14"/>
      <c r="I5" s="14"/>
      <c r="J5" s="10"/>
      <c r="K5" s="29"/>
      <c r="L5" s="23" t="s">
        <v>165</v>
      </c>
      <c r="M5" s="24">
        <f>F24</f>
        <v>-73336.709486369044</v>
      </c>
      <c r="N5" s="167">
        <f t="shared" ref="N5:N14" si="0">-M5</f>
        <v>73336.709486369044</v>
      </c>
      <c r="O5" s="25">
        <f>'Scenario Metrics'!N5-'Baseline Metrics'!N5</f>
        <v>-1.5369561806658272E-2</v>
      </c>
      <c r="P5" s="10"/>
    </row>
    <row r="6" spans="1:20" x14ac:dyDescent="0.2">
      <c r="B6" s="20" t="s">
        <v>85</v>
      </c>
      <c r="C6" s="126">
        <f>'Scenario Metrics'!C6-'Baseline Metrics'!C8</f>
        <v>-0.51718292580001446</v>
      </c>
      <c r="D6" s="31" t="s">
        <v>103</v>
      </c>
      <c r="E6" s="14"/>
      <c r="F6" s="10"/>
      <c r="G6" s="10"/>
      <c r="H6" s="14"/>
      <c r="I6" s="14"/>
      <c r="J6" s="10"/>
      <c r="K6" s="29"/>
      <c r="L6" s="23" t="s">
        <v>101</v>
      </c>
      <c r="M6" s="24">
        <f>F25</f>
        <v>-816674.72999729216</v>
      </c>
      <c r="N6" s="167">
        <f t="shared" si="0"/>
        <v>816674.72999729216</v>
      </c>
      <c r="O6" s="25">
        <f>'Scenario Metrics'!N9-'Baseline Metrics'!N9</f>
        <v>-0.17115483945952548</v>
      </c>
      <c r="P6" s="10"/>
    </row>
    <row r="7" spans="1:20" x14ac:dyDescent="0.2">
      <c r="B7" s="20" t="s">
        <v>15</v>
      </c>
      <c r="C7" s="126">
        <f>'Scenario Metrics'!C7-'Baseline Metrics'!C9</f>
        <v>0</v>
      </c>
      <c r="D7" s="31"/>
      <c r="E7" s="14"/>
      <c r="F7" s="14"/>
      <c r="G7" s="14"/>
      <c r="H7" s="14"/>
      <c r="I7" s="14"/>
      <c r="J7" s="10"/>
      <c r="K7" s="29"/>
      <c r="L7" s="23" t="s">
        <v>167</v>
      </c>
      <c r="M7" s="24">
        <f>F52+F55</f>
        <v>-1628984.8762998995</v>
      </c>
      <c r="N7" s="167">
        <f t="shared" si="0"/>
        <v>1628984.8762998995</v>
      </c>
      <c r="O7" s="25">
        <f>'Scenario Metrics'!N10-'Baseline Metrics'!N10</f>
        <v>4.2611542777904882E-2</v>
      </c>
      <c r="P7" s="10"/>
    </row>
    <row r="8" spans="1:20" ht="15" thickBot="1" x14ac:dyDescent="0.25">
      <c r="A8" s="33"/>
      <c r="B8" s="34" t="s">
        <v>67</v>
      </c>
      <c r="C8" s="127">
        <f>'Scenario Metrics'!C8-'Baseline Metrics'!C10</f>
        <v>0</v>
      </c>
      <c r="D8" s="36"/>
      <c r="E8" s="14"/>
      <c r="F8" s="14"/>
      <c r="G8" s="14"/>
      <c r="H8" s="14"/>
      <c r="I8" s="14"/>
      <c r="J8" s="14"/>
      <c r="K8" s="29"/>
      <c r="L8" s="23" t="s">
        <v>178</v>
      </c>
      <c r="M8" s="24">
        <f>F54+F57</f>
        <v>875248.86083900009</v>
      </c>
      <c r="N8" s="167">
        <f t="shared" si="0"/>
        <v>-875248.86083900009</v>
      </c>
      <c r="O8" s="25">
        <f>'Scenario Metrics'!N11-'Baseline Metrics'!N11</f>
        <v>-1.4014219140825124E-2</v>
      </c>
      <c r="P8" s="10"/>
    </row>
    <row r="9" spans="1:20" ht="21" customHeight="1" x14ac:dyDescent="0.2">
      <c r="A9" s="33"/>
      <c r="B9" s="3"/>
      <c r="C9" s="37"/>
      <c r="D9" s="37"/>
      <c r="E9" s="26"/>
      <c r="F9" s="14"/>
      <c r="G9" s="14"/>
      <c r="H9" s="14"/>
      <c r="I9" s="14"/>
      <c r="J9" s="14"/>
      <c r="K9" s="29"/>
      <c r="L9" s="23" t="s">
        <v>179</v>
      </c>
      <c r="M9" s="24">
        <f>F53+F56</f>
        <v>172158.81503931005</v>
      </c>
      <c r="N9" s="167">
        <f t="shared" si="0"/>
        <v>-172158.81503931005</v>
      </c>
      <c r="O9" s="25">
        <f>'Scenario Metrics'!N12-'Baseline Metrics'!N12</f>
        <v>0</v>
      </c>
      <c r="P9" s="10"/>
    </row>
    <row r="10" spans="1:20" x14ac:dyDescent="0.2">
      <c r="A10" s="33"/>
      <c r="B10" s="10"/>
      <c r="C10" s="159">
        <f>C4*'Scenario Metrics'!C7</f>
        <v>-2025444.2022343627</v>
      </c>
      <c r="D10" s="10"/>
      <c r="E10" s="26"/>
      <c r="F10" s="14"/>
      <c r="G10" s="14"/>
      <c r="H10" s="14"/>
      <c r="I10" s="14"/>
      <c r="J10" s="14"/>
      <c r="K10" s="29"/>
      <c r="L10" s="23" t="s">
        <v>84</v>
      </c>
      <c r="M10" s="24">
        <f>F26</f>
        <v>203323.31999962591</v>
      </c>
      <c r="N10" s="167">
        <f t="shared" si="0"/>
        <v>-203323.31999962591</v>
      </c>
      <c r="O10" s="25">
        <f>'Scenario Metrics'!N10-'Baseline Metrics'!N10</f>
        <v>4.2611542777904882E-2</v>
      </c>
      <c r="P10" s="10"/>
    </row>
    <row r="11" spans="1:20" x14ac:dyDescent="0.2">
      <c r="A11" s="33"/>
      <c r="B11" s="10"/>
      <c r="C11" s="10"/>
      <c r="D11" s="10"/>
      <c r="E11" s="26"/>
      <c r="F11" s="14"/>
      <c r="G11" s="14"/>
      <c r="H11" s="14"/>
      <c r="I11" s="14"/>
      <c r="J11" s="14"/>
      <c r="K11" s="29"/>
      <c r="L11" s="23" t="s">
        <v>94</v>
      </c>
      <c r="M11" s="24">
        <f>F27</f>
        <v>-66869.617412500083</v>
      </c>
      <c r="N11" s="167">
        <f t="shared" si="0"/>
        <v>66869.617412500083</v>
      </c>
      <c r="O11" s="25">
        <f>'Scenario Metrics'!N11-'Baseline Metrics'!N11</f>
        <v>-1.4014219140825124E-2</v>
      </c>
      <c r="P11" s="10"/>
    </row>
    <row r="12" spans="1:20" x14ac:dyDescent="0.2">
      <c r="A12" s="33"/>
      <c r="B12" s="10"/>
      <c r="C12" s="10"/>
      <c r="D12" s="10"/>
      <c r="E12" s="26"/>
      <c r="F12" s="14"/>
      <c r="G12" s="14"/>
      <c r="H12" s="14"/>
      <c r="I12" s="14"/>
      <c r="J12" s="14"/>
      <c r="K12" s="29"/>
      <c r="L12" s="23" t="s">
        <v>95</v>
      </c>
      <c r="M12" s="140">
        <v>0</v>
      </c>
      <c r="N12" s="167">
        <f t="shared" si="0"/>
        <v>0</v>
      </c>
      <c r="O12" s="25">
        <f>'Scenario Metrics'!N12-'Baseline Metrics'!N12</f>
        <v>0</v>
      </c>
      <c r="P12" s="10"/>
    </row>
    <row r="13" spans="1:20" s="33" customFormat="1" x14ac:dyDescent="0.2">
      <c r="B13" s="3" t="s">
        <v>105</v>
      </c>
      <c r="C13" s="37"/>
      <c r="D13" s="37"/>
      <c r="E13" s="26"/>
      <c r="F13" s="14"/>
      <c r="G13" s="14"/>
      <c r="H13" s="14"/>
      <c r="I13" s="14"/>
      <c r="J13" s="14"/>
      <c r="K13" s="29"/>
      <c r="L13" s="23" t="s">
        <v>97</v>
      </c>
      <c r="M13" s="24">
        <f>SUM(E38:E40)</f>
        <v>87988.511452442734</v>
      </c>
      <c r="N13" s="167">
        <f t="shared" si="0"/>
        <v>-87988.511452442734</v>
      </c>
      <c r="O13" s="25">
        <f>'Scenario Metrics'!N13-'Baseline Metrics'!N13</f>
        <v>1.8440217382476476E-2</v>
      </c>
      <c r="P13" s="26"/>
    </row>
    <row r="14" spans="1:20" ht="51" x14ac:dyDescent="0.2">
      <c r="B14" s="42" t="s">
        <v>86</v>
      </c>
      <c r="C14" s="43" t="s">
        <v>114</v>
      </c>
      <c r="D14" s="44" t="s">
        <v>115</v>
      </c>
      <c r="E14" s="44" t="s">
        <v>74</v>
      </c>
      <c r="F14" s="44" t="s">
        <v>80</v>
      </c>
      <c r="G14" s="44" t="s">
        <v>91</v>
      </c>
      <c r="H14" s="44" t="s">
        <v>92</v>
      </c>
      <c r="I14" s="45" t="s">
        <v>17</v>
      </c>
      <c r="J14" s="46" t="s">
        <v>16</v>
      </c>
      <c r="K14" s="47"/>
      <c r="L14" s="38" t="s">
        <v>98</v>
      </c>
      <c r="M14" s="39">
        <f>SUM(E44:E48)</f>
        <v>-331638.82032543956</v>
      </c>
      <c r="N14" s="168">
        <f t="shared" si="0"/>
        <v>331638.82032543956</v>
      </c>
      <c r="O14" s="40">
        <f>'Scenario Metrics'!N14-'Baseline Metrics'!N14</f>
        <v>-6.9503300355007736E-2</v>
      </c>
    </row>
    <row r="15" spans="1:20" x14ac:dyDescent="0.2">
      <c r="B15" s="48" t="s">
        <v>60</v>
      </c>
      <c r="C15" s="49">
        <f>'Scenario Metrics'!C15-'Baseline Metrics'!C17</f>
        <v>-149445.96781180985</v>
      </c>
      <c r="D15" s="50">
        <f>'Scenario Metrics'!D15-'Baseline Metrics'!D17</f>
        <v>-18477.936216264963</v>
      </c>
      <c r="E15" s="50">
        <f>'Scenario Metrics'!E15-'Baseline Metrics'!E17</f>
        <v>-30197</v>
      </c>
      <c r="F15" s="50">
        <f>'Scenario Metrics'!F15-'Baseline Metrics'!F17</f>
        <v>-9221</v>
      </c>
      <c r="G15" s="51">
        <f>'Scenario Metrics'!G15-'Baseline Metrics'!G17</f>
        <v>-6.328544887358567E-3</v>
      </c>
      <c r="H15" s="51">
        <f>'Scenario Metrics'!H15-'Baseline Metrics'!H17</f>
        <v>-1.0304808202721227E-2</v>
      </c>
      <c r="I15" s="52">
        <v>25</v>
      </c>
      <c r="J15" s="53">
        <f t="shared" ref="J15:J20" si="1">C15*I15</f>
        <v>-3736149.1952952463</v>
      </c>
      <c r="K15" s="54"/>
      <c r="L15" s="26"/>
      <c r="M15" s="24"/>
      <c r="N15" s="41"/>
      <c r="R15" s="28">
        <v>60</v>
      </c>
      <c r="S15" s="28" t="s">
        <v>66</v>
      </c>
      <c r="T15" s="14"/>
    </row>
    <row r="16" spans="1:20" x14ac:dyDescent="0.2">
      <c r="B16" s="48" t="s">
        <v>58</v>
      </c>
      <c r="C16" s="60">
        <f>'Scenario Metrics'!C16-'Baseline Metrics'!C18</f>
        <v>-20438.629077550024</v>
      </c>
      <c r="D16" s="61">
        <f>'Scenario Metrics'!D16-'Baseline Metrics'!D18</f>
        <v>-4225.652698365011</v>
      </c>
      <c r="E16" s="61">
        <f>'Scenario Metrics'!E16-'Baseline Metrics'!E18</f>
        <v>2153</v>
      </c>
      <c r="F16" s="61">
        <f>'Scenario Metrics'!F16-'Baseline Metrics'!F18</f>
        <v>-1867</v>
      </c>
      <c r="G16" s="62">
        <f>'Scenario Metrics'!G16-'Baseline Metrics'!G18</f>
        <v>4.5121558904803738E-4</v>
      </c>
      <c r="H16" s="62">
        <f>'Scenario Metrics'!H16-'Baseline Metrics'!H18</f>
        <v>-2.0864414829715461E-3</v>
      </c>
      <c r="I16" s="63">
        <v>25</v>
      </c>
      <c r="J16" s="64">
        <f t="shared" si="1"/>
        <v>-510965.72693875059</v>
      </c>
      <c r="K16" s="54"/>
      <c r="L16" s="3" t="s">
        <v>107</v>
      </c>
      <c r="M16" s="33"/>
      <c r="N16" s="33"/>
      <c r="O16" s="33"/>
    </row>
    <row r="17" spans="2:16" ht="25.5" x14ac:dyDescent="0.2">
      <c r="B17" s="48" t="s">
        <v>59</v>
      </c>
      <c r="C17" s="60">
        <f>'Scenario Metrics'!C17-'Baseline Metrics'!C19</f>
        <v>-6695.2902627880685</v>
      </c>
      <c r="D17" s="61">
        <f>'Scenario Metrics'!D17-'Baseline Metrics'!D19</f>
        <v>-1346.5427240146964</v>
      </c>
      <c r="E17" s="61">
        <f>'Scenario Metrics'!E17-'Baseline Metrics'!E19</f>
        <v>3127</v>
      </c>
      <c r="F17" s="61">
        <f>'Scenario Metrics'!F17-'Baseline Metrics'!F19</f>
        <v>-408</v>
      </c>
      <c r="G17" s="62">
        <f>'Scenario Metrics'!G17-'Baseline Metrics'!G19</f>
        <v>6.5534191683844223E-4</v>
      </c>
      <c r="H17" s="62">
        <f>'Scenario Metrics'!H17-'Baseline Metrics'!H19</f>
        <v>-4.5595507501466903E-4</v>
      </c>
      <c r="I17" s="63">
        <v>25</v>
      </c>
      <c r="J17" s="64">
        <f t="shared" si="1"/>
        <v>-167382.25656970171</v>
      </c>
      <c r="K17" s="54"/>
      <c r="L17" s="42" t="s">
        <v>87</v>
      </c>
      <c r="M17" s="45" t="s">
        <v>116</v>
      </c>
      <c r="N17" s="45" t="s">
        <v>117</v>
      </c>
      <c r="O17" s="45" t="s">
        <v>118</v>
      </c>
      <c r="P17" s="46" t="s">
        <v>119</v>
      </c>
    </row>
    <row r="18" spans="2:16" x14ac:dyDescent="0.2">
      <c r="B18" s="48" t="s">
        <v>62</v>
      </c>
      <c r="C18" s="60">
        <f>'Scenario Metrics'!C18-'Baseline Metrics'!C20</f>
        <v>40300.672473707993</v>
      </c>
      <c r="D18" s="61">
        <f>'Scenario Metrics'!D18-'Baseline Metrics'!D20</f>
        <v>9474.21840625201</v>
      </c>
      <c r="E18" s="61">
        <f>'Scenario Metrics'!E18-'Baseline Metrics'!E20</f>
        <v>0</v>
      </c>
      <c r="F18" s="61">
        <f>'Scenario Metrics'!F18-'Baseline Metrics'!F20</f>
        <v>-220519</v>
      </c>
      <c r="G18" s="62">
        <f>'Scenario Metrics'!G18-'Baseline Metrics'!G20</f>
        <v>0</v>
      </c>
      <c r="H18" s="62">
        <f>'Scenario Metrics'!H18-'Baseline Metrics'!H20</f>
        <v>-0.24643813036068507</v>
      </c>
      <c r="I18" s="63">
        <v>25</v>
      </c>
      <c r="J18" s="64">
        <f t="shared" si="1"/>
        <v>1007516.8118426998</v>
      </c>
      <c r="K18" s="54"/>
      <c r="L18" s="55" t="s">
        <v>60</v>
      </c>
      <c r="M18" s="56">
        <f>'Scenario Metrics'!M18-'Baseline Metrics'!M18</f>
        <v>-1.879210879620711</v>
      </c>
      <c r="N18" s="57">
        <f>'Scenario Metrics'!N18-'Baseline Metrics'!N18</f>
        <v>-1.2389865872946046</v>
      </c>
      <c r="O18" s="58">
        <f>'Scenario Metrics'!O18-'Baseline Metrics'!O18</f>
        <v>-3.0415985208930536</v>
      </c>
      <c r="P18" s="59">
        <f>'Scenario Metrics'!P18-'Baseline Metrics'!P18</f>
        <v>-1.5108430184347839</v>
      </c>
    </row>
    <row r="19" spans="2:16" x14ac:dyDescent="0.2">
      <c r="B19" s="48" t="s">
        <v>63</v>
      </c>
      <c r="C19" s="60">
        <f>'Scenario Metrics'!C19-'Baseline Metrics'!C21</f>
        <v>68680.336533269845</v>
      </c>
      <c r="D19" s="61">
        <f>'Scenario Metrics'!D19-'Baseline Metrics'!D21</f>
        <v>9426.346437737986</v>
      </c>
      <c r="E19" s="61">
        <f>'Scenario Metrics'!E19-'Baseline Metrics'!E21</f>
        <v>57301</v>
      </c>
      <c r="F19" s="61">
        <f>'Scenario Metrics'!F19-'Baseline Metrics'!F21</f>
        <v>9002</v>
      </c>
      <c r="G19" s="62">
        <f>'Scenario Metrics'!G19-'Baseline Metrics'!G21</f>
        <v>1.2008873417575561E-2</v>
      </c>
      <c r="H19" s="62">
        <f>'Scenario Metrics'!H19-'Baseline Metrics'!H21</f>
        <v>1.0060067610985379E-2</v>
      </c>
      <c r="I19" s="63">
        <v>25</v>
      </c>
      <c r="J19" s="64">
        <f t="shared" si="1"/>
        <v>1717008.4133317461</v>
      </c>
      <c r="K19" s="54"/>
      <c r="L19" s="55" t="s">
        <v>58</v>
      </c>
      <c r="M19" s="65">
        <f>'Scenario Metrics'!M19-'Baseline Metrics'!M19</f>
        <v>-0.25700589108854466</v>
      </c>
      <c r="N19" s="30">
        <f>'Scenario Metrics'!N19-'Baseline Metrics'!N19</f>
        <v>-0.2833393813336702</v>
      </c>
      <c r="O19" s="66">
        <f>'Scenario Metrics'!O19-'Baseline Metrics'!O19</f>
        <v>-0.78871744665866572</v>
      </c>
      <c r="P19" s="67">
        <f>'Scenario Metrics'!P19-'Baseline Metrics'!P19</f>
        <v>-0.65286763014844951</v>
      </c>
    </row>
    <row r="20" spans="2:16" x14ac:dyDescent="0.2">
      <c r="B20" s="68" t="s">
        <v>57</v>
      </c>
      <c r="C20" s="69">
        <f>'Scenario Metrics'!C20-'Baseline Metrics'!C22</f>
        <v>26469.43188657501</v>
      </c>
      <c r="D20" s="70">
        <f>'Scenario Metrics'!D20-'Baseline Metrics'!D22</f>
        <v>6278.2600909882021</v>
      </c>
      <c r="E20" s="70">
        <f>'Scenario Metrics'!E20-'Baseline Metrics'!E22</f>
        <v>17001</v>
      </c>
      <c r="F20" s="70">
        <f>'Scenario Metrics'!F20-'Baseline Metrics'!F22</f>
        <v>3851</v>
      </c>
      <c r="G20" s="71">
        <f>'Scenario Metrics'!G20-'Baseline Metrics'!G22</f>
        <v>3.5629894237832263E-3</v>
      </c>
      <c r="H20" s="71">
        <f>'Scenario Metrics'!H20-'Baseline Metrics'!H22</f>
        <v>4.3036347889252105E-3</v>
      </c>
      <c r="I20" s="72">
        <v>25</v>
      </c>
      <c r="J20" s="73">
        <f t="shared" si="1"/>
        <v>661735.7971643752</v>
      </c>
      <c r="K20" s="54"/>
      <c r="L20" s="55" t="s">
        <v>59</v>
      </c>
      <c r="M20" s="65">
        <f>'Scenario Metrics'!M20-'Baseline Metrics'!M20</f>
        <v>-8.4190041981550223E-2</v>
      </c>
      <c r="N20" s="30">
        <f>'Scenario Metrics'!N20-'Baseline Metrics'!N20</f>
        <v>-9.0288674814495984E-2</v>
      </c>
      <c r="O20" s="66">
        <f>'Scenario Metrics'!O20-'Baseline Metrics'!O20</f>
        <v>-0.50517612349678132</v>
      </c>
      <c r="P20" s="67">
        <f>'Scenario Metrics'!P20-'Baseline Metrics'!P20</f>
        <v>-0.44729619457059044</v>
      </c>
    </row>
    <row r="21" spans="2:16" x14ac:dyDescent="0.2">
      <c r="B21" s="79"/>
      <c r="C21" s="61"/>
      <c r="D21" s="61"/>
      <c r="E21" s="61"/>
      <c r="F21" s="61"/>
      <c r="G21" s="62"/>
      <c r="H21" s="62"/>
      <c r="I21" s="63"/>
      <c r="J21" s="80"/>
      <c r="K21" s="54"/>
      <c r="L21" s="55" t="s">
        <v>62</v>
      </c>
      <c r="M21" s="65">
        <f>'Scenario Metrics'!M21-'Baseline Metrics'!M21</f>
        <v>0.50676149565969109</v>
      </c>
      <c r="N21" s="30">
        <f>'Scenario Metrics'!N21-'Baseline Metrics'!N21</f>
        <v>0.635267347665879</v>
      </c>
      <c r="O21" s="66">
        <f>'Scenario Metrics'!O21-'Baseline Metrics'!O21</f>
        <v>6.6942785316643523</v>
      </c>
      <c r="P21" s="67">
        <f>'Scenario Metrics'!P21-'Baseline Metrics'!P21</f>
        <v>61.568951828883421</v>
      </c>
    </row>
    <row r="22" spans="2:16" x14ac:dyDescent="0.2">
      <c r="B22" s="3" t="s">
        <v>108</v>
      </c>
      <c r="L22" s="55" t="s">
        <v>63</v>
      </c>
      <c r="M22" s="65">
        <f>'Scenario Metrics'!M22-'Baseline Metrics'!M22</f>
        <v>0.86362206701928557</v>
      </c>
      <c r="N22" s="30">
        <f>'Scenario Metrics'!N22-'Baseline Metrics'!N22</f>
        <v>0.63205742604898063</v>
      </c>
      <c r="O22" s="66">
        <f>'Scenario Metrics'!O22-'Baseline Metrics'!O22</f>
        <v>-0.82978425659695176</v>
      </c>
      <c r="P22" s="67">
        <f>'Scenario Metrics'!P22-'Baseline Metrics'!P22</f>
        <v>-1.1743256935429969</v>
      </c>
    </row>
    <row r="23" spans="2:16" ht="25.5" x14ac:dyDescent="0.2">
      <c r="B23" s="83" t="s">
        <v>88</v>
      </c>
      <c r="C23" s="84" t="s">
        <v>1</v>
      </c>
      <c r="D23" s="45" t="s">
        <v>2</v>
      </c>
      <c r="E23" s="45" t="s">
        <v>17</v>
      </c>
      <c r="F23" s="46" t="s">
        <v>16</v>
      </c>
      <c r="G23" s="28"/>
      <c r="L23" s="74" t="s">
        <v>57</v>
      </c>
      <c r="M23" s="75">
        <f>'Scenario Metrics'!M23-'Baseline Metrics'!M23</f>
        <v>0.33284032421181386</v>
      </c>
      <c r="N23" s="76">
        <f>'Scenario Metrics'!N23-'Baseline Metrics'!N23</f>
        <v>0.42097125746295871</v>
      </c>
      <c r="O23" s="77">
        <f>'Scenario Metrics'!O23-'Baseline Metrics'!O23</f>
        <v>2.6621521045594463</v>
      </c>
      <c r="P23" s="78">
        <f>'Scenario Metrics'!P23-'Baseline Metrics'!P23</f>
        <v>2.8627091715965349</v>
      </c>
    </row>
    <row r="24" spans="2:16" x14ac:dyDescent="0.2">
      <c r="B24" s="55" t="s">
        <v>0</v>
      </c>
      <c r="C24" s="85">
        <f>'Scenario Metrics'!C24-'Baseline Metrics'!C26</f>
        <v>-73336.709486369044</v>
      </c>
      <c r="D24" s="86">
        <f>'Scenario Metrics'!D24-'Baseline Metrics'!D26</f>
        <v>1114.9874866367318</v>
      </c>
      <c r="E24" s="52" t="s">
        <v>83</v>
      </c>
      <c r="F24" s="53">
        <f>C24</f>
        <v>-73336.709486369044</v>
      </c>
      <c r="G24" s="28"/>
      <c r="J24" s="87"/>
      <c r="N24" s="30"/>
      <c r="O24" s="66"/>
      <c r="P24" s="66"/>
    </row>
    <row r="25" spans="2:16" x14ac:dyDescent="0.2">
      <c r="B25" s="55" t="s">
        <v>22</v>
      </c>
      <c r="C25" s="60">
        <f>'Scenario Metrics'!C25-'Baseline Metrics'!C27</f>
        <v>-38889.272857013624</v>
      </c>
      <c r="D25" s="61">
        <f>'Scenario Metrics'!D25-'Baseline Metrics'!D27</f>
        <v>-12744.638253976242</v>
      </c>
      <c r="E25" s="63">
        <v>21</v>
      </c>
      <c r="F25" s="61">
        <f>'Scenario Metrics'!F25-'Baseline Metrics'!F27</f>
        <v>-816674.72999729216</v>
      </c>
      <c r="G25" s="28"/>
      <c r="L25" s="3" t="s">
        <v>109</v>
      </c>
      <c r="N25" s="81"/>
    </row>
    <row r="26" spans="2:16" ht="25.5" x14ac:dyDescent="0.2">
      <c r="B26" s="55" t="s">
        <v>84</v>
      </c>
      <c r="C26" s="96">
        <f>'Scenario Metrics'!C26-'Baseline Metrics'!C28</f>
        <v>203323.31999962591</v>
      </c>
      <c r="D26" s="80">
        <f>'Scenario Metrics'!D26-'Baseline Metrics'!D28</f>
        <v>56149.845000111993</v>
      </c>
      <c r="E26" s="63" t="s">
        <v>83</v>
      </c>
      <c r="F26" s="64">
        <f>C26</f>
        <v>203323.31999962591</v>
      </c>
      <c r="G26" s="28"/>
      <c r="L26" s="83" t="s">
        <v>128</v>
      </c>
      <c r="M26" s="45" t="s">
        <v>89</v>
      </c>
      <c r="N26" s="45" t="s">
        <v>49</v>
      </c>
      <c r="O26" s="45" t="s">
        <v>69</v>
      </c>
      <c r="P26" s="46" t="s">
        <v>70</v>
      </c>
    </row>
    <row r="27" spans="2:16" x14ac:dyDescent="0.2">
      <c r="B27" s="74" t="s">
        <v>14</v>
      </c>
      <c r="C27" s="99">
        <f>'Scenario Metrics'!C27-'Baseline Metrics'!C29</f>
        <v>-66869.617412500083</v>
      </c>
      <c r="D27" s="100">
        <f>'Scenario Metrics'!D27-'Baseline Metrics'!D29</f>
        <v>-11149.526722795039</v>
      </c>
      <c r="E27" s="72" t="s">
        <v>83</v>
      </c>
      <c r="F27" s="73">
        <f>C27</f>
        <v>-66869.617412500083</v>
      </c>
      <c r="G27" s="28"/>
      <c r="L27" s="55" t="s">
        <v>0</v>
      </c>
      <c r="M27" s="88">
        <f>'Scenario Metrics'!M27-'Baseline Metrics'!M27</f>
        <v>-1.5369561806658272E-2</v>
      </c>
      <c r="N27" s="89">
        <f>'Scenario Metrics'!N27-'Baseline Metrics'!N27</f>
        <v>1.2460397135045653E-3</v>
      </c>
      <c r="O27" s="90">
        <f>'Scenario Metrics'!O27-'Baseline Metrics'!O27</f>
        <v>5.1339791267689172E-2</v>
      </c>
      <c r="P27" s="91">
        <f>'Scenario Metrics'!P27-'Baseline Metrics'!P27</f>
        <v>0.13669628222596053</v>
      </c>
    </row>
    <row r="28" spans="2:16" x14ac:dyDescent="0.2">
      <c r="L28" s="55" t="s">
        <v>22</v>
      </c>
      <c r="M28" s="93">
        <f>'Scenario Metrics'!M28-'Baseline Metrics'!M28</f>
        <v>-8.1502304504534884E-3</v>
      </c>
      <c r="N28" s="94">
        <f>'Scenario Metrics'!N28-'Baseline Metrics'!N28</f>
        <v>-1.4242604144917959E-2</v>
      </c>
      <c r="O28" s="26">
        <f>'Scenario Metrics'!O28-'Baseline Metrics'!O28</f>
        <v>0</v>
      </c>
      <c r="P28" s="95">
        <f>'Scenario Metrics'!P28-'Baseline Metrics'!P28</f>
        <v>0</v>
      </c>
    </row>
    <row r="29" spans="2:16" x14ac:dyDescent="0.2">
      <c r="B29" s="3" t="s">
        <v>110</v>
      </c>
      <c r="L29" s="55" t="s">
        <v>68</v>
      </c>
      <c r="M29" s="97">
        <f>'Scenario Metrics'!M29-'Baseline Metrics'!M29</f>
        <v>4.2611542777904882E-2</v>
      </c>
      <c r="N29" s="41">
        <f>'Scenario Metrics'!N29-'Baseline Metrics'!N29</f>
        <v>6.2749526443843212E-2</v>
      </c>
      <c r="O29" s="98">
        <f>'Scenario Metrics'!O29-'Baseline Metrics'!O29</f>
        <v>0.56289504720142269</v>
      </c>
      <c r="P29" s="95">
        <f>'Scenario Metrics'!P29-'Baseline Metrics'!P29</f>
        <v>0</v>
      </c>
    </row>
    <row r="30" spans="2:16" ht="38.25" x14ac:dyDescent="0.2">
      <c r="B30" s="42" t="s">
        <v>18</v>
      </c>
      <c r="C30" s="45" t="s">
        <v>1</v>
      </c>
      <c r="D30" s="45" t="s">
        <v>2</v>
      </c>
      <c r="E30" s="45" t="s">
        <v>72</v>
      </c>
      <c r="F30" s="46" t="s">
        <v>73</v>
      </c>
      <c r="G30" s="28"/>
      <c r="H30" s="28"/>
      <c r="I30" s="28"/>
      <c r="J30" s="28"/>
      <c r="K30" s="54"/>
      <c r="L30" s="74" t="s">
        <v>14</v>
      </c>
      <c r="M30" s="101">
        <f>'Scenario Metrics'!M30-'Baseline Metrics'!M30</f>
        <v>-1.4014219140825124E-2</v>
      </c>
      <c r="N30" s="102">
        <f>'Scenario Metrics'!N30-'Baseline Metrics'!N30</f>
        <v>-1.2460008071740358E-2</v>
      </c>
      <c r="O30" s="103">
        <f>'Scenario Metrics'!O30-'Baseline Metrics'!O30</f>
        <v>-1.3505883923763173E-2</v>
      </c>
      <c r="P30" s="104">
        <f>'Scenario Metrics'!P30-'Baseline Metrics'!P30</f>
        <v>-9.1987847303528492E-3</v>
      </c>
    </row>
    <row r="31" spans="2:16" ht="25.5" x14ac:dyDescent="0.2">
      <c r="B31" s="55" t="s">
        <v>50</v>
      </c>
      <c r="C31" s="105">
        <f>'Scenario Metrics'!C31-'Baseline Metrics'!C33</f>
        <v>-0.82978425659695176</v>
      </c>
      <c r="D31" s="66">
        <f>'Scenario Metrics'!D31-'Baseline Metrics'!D33</f>
        <v>-1.1743256935429969</v>
      </c>
      <c r="E31" s="79">
        <f>'Scenario Metrics'!E31-'Baseline Metrics'!E33</f>
        <v>0</v>
      </c>
      <c r="F31" s="106">
        <f>'Scenario Metrics'!F31-'Baseline Metrics'!F33</f>
        <v>0</v>
      </c>
      <c r="G31" s="28"/>
      <c r="H31" s="28"/>
      <c r="I31" s="28"/>
      <c r="J31" s="28"/>
      <c r="K31" s="54"/>
      <c r="P31" s="10"/>
    </row>
    <row r="32" spans="2:16" x14ac:dyDescent="0.2">
      <c r="B32" s="55" t="s">
        <v>11</v>
      </c>
      <c r="C32" s="61">
        <f>'Scenario Metrics'!C32-'Baseline Metrics'!C34</f>
        <v>57301</v>
      </c>
      <c r="D32" s="61">
        <f>'Scenario Metrics'!D32-'Baseline Metrics'!D34</f>
        <v>9002</v>
      </c>
      <c r="E32" s="107">
        <f>'Scenario Metrics'!E32-'Baseline Metrics'!E34</f>
        <v>1.2008873417575561E-2</v>
      </c>
      <c r="F32" s="108">
        <f>'Scenario Metrics'!F32-'Baseline Metrics'!F34</f>
        <v>1.0060067610985379E-2</v>
      </c>
      <c r="G32" s="28"/>
      <c r="H32" s="28"/>
      <c r="I32" s="28"/>
      <c r="J32" s="28"/>
      <c r="K32" s="54"/>
      <c r="P32" s="10"/>
    </row>
    <row r="33" spans="2:16" x14ac:dyDescent="0.2">
      <c r="B33" s="55" t="s">
        <v>12</v>
      </c>
      <c r="C33" s="105">
        <f>'Scenario Metrics'!C33-'Baseline Metrics'!C35</f>
        <v>2.6621521045594463</v>
      </c>
      <c r="D33" s="66">
        <f>'Scenario Metrics'!D33-'Baseline Metrics'!D35</f>
        <v>2.8627091715965349</v>
      </c>
      <c r="E33" s="79">
        <f>'Scenario Metrics'!E33-'Baseline Metrics'!E35</f>
        <v>0</v>
      </c>
      <c r="F33" s="106">
        <f>'Scenario Metrics'!F33-'Baseline Metrics'!F35</f>
        <v>0</v>
      </c>
      <c r="G33" s="28"/>
      <c r="H33" s="28"/>
      <c r="I33" s="28"/>
      <c r="J33" s="28"/>
      <c r="K33" s="54"/>
      <c r="L33" s="10"/>
      <c r="M33" s="10"/>
      <c r="N33" s="10"/>
      <c r="O33" s="10"/>
      <c r="P33" s="10"/>
    </row>
    <row r="34" spans="2:16" x14ac:dyDescent="0.2">
      <c r="B34" s="74" t="s">
        <v>13</v>
      </c>
      <c r="C34" s="70">
        <f>'Scenario Metrics'!C34-'Baseline Metrics'!C36</f>
        <v>17001</v>
      </c>
      <c r="D34" s="70">
        <f>'Scenario Metrics'!D34-'Baseline Metrics'!D36</f>
        <v>3851</v>
      </c>
      <c r="E34" s="109">
        <f>'Scenario Metrics'!E34-'Baseline Metrics'!E36</f>
        <v>3.5629894237832263E-3</v>
      </c>
      <c r="F34" s="110">
        <f>'Scenario Metrics'!F34-'Baseline Metrics'!F36</f>
        <v>4.3036347889252105E-3</v>
      </c>
      <c r="G34" s="28"/>
      <c r="H34" s="28"/>
      <c r="I34" s="28"/>
      <c r="J34" s="28"/>
      <c r="K34" s="54"/>
      <c r="L34" s="10"/>
      <c r="M34" s="10"/>
      <c r="N34" s="10"/>
      <c r="O34" s="10"/>
      <c r="P34" s="10"/>
    </row>
    <row r="35" spans="2:16" x14ac:dyDescent="0.2">
      <c r="L35" s="10"/>
      <c r="M35" s="10"/>
      <c r="N35" s="10"/>
      <c r="O35" s="10"/>
    </row>
    <row r="36" spans="2:16" x14ac:dyDescent="0.2">
      <c r="B36" s="3" t="s">
        <v>111</v>
      </c>
      <c r="L36" s="10"/>
      <c r="M36" s="10"/>
      <c r="N36" s="10"/>
      <c r="O36" s="10"/>
    </row>
    <row r="37" spans="2:16" ht="25.5" x14ac:dyDescent="0.2">
      <c r="B37" s="42" t="s">
        <v>20</v>
      </c>
      <c r="C37" s="45" t="s">
        <v>1</v>
      </c>
      <c r="D37" s="45" t="s">
        <v>17</v>
      </c>
      <c r="E37" s="46" t="s">
        <v>16</v>
      </c>
      <c r="G37" s="79"/>
      <c r="H37" s="79"/>
      <c r="I37" s="28"/>
      <c r="J37" s="28"/>
      <c r="K37" s="54"/>
      <c r="L37" s="10"/>
      <c r="M37" s="10"/>
      <c r="N37" s="10"/>
      <c r="O37" s="10"/>
    </row>
    <row r="38" spans="2:16" x14ac:dyDescent="0.2">
      <c r="B38" s="55" t="s">
        <v>3</v>
      </c>
      <c r="C38" s="66">
        <f>'Scenario Metrics'!C38-'Baseline Metrics'!C40</f>
        <v>0.68377338879048466</v>
      </c>
      <c r="D38" s="63">
        <v>75500</v>
      </c>
      <c r="E38" s="64">
        <f>D38*C38</f>
        <v>51624.890853681594</v>
      </c>
      <c r="F38" s="28"/>
      <c r="G38" s="28"/>
      <c r="H38" s="28"/>
      <c r="I38" s="28"/>
      <c r="J38" s="28"/>
      <c r="K38" s="54"/>
      <c r="P38" s="10"/>
    </row>
    <row r="39" spans="2:16" x14ac:dyDescent="0.2">
      <c r="B39" s="55" t="s">
        <v>4</v>
      </c>
      <c r="C39" s="66">
        <f>'Scenario Metrics'!C39-'Baseline Metrics'!C41</f>
        <v>1.9722370813879593</v>
      </c>
      <c r="D39" s="63">
        <v>2600</v>
      </c>
      <c r="E39" s="64">
        <f>D39*C39</f>
        <v>5127.8164116086937</v>
      </c>
      <c r="F39" s="28"/>
      <c r="G39" s="28"/>
      <c r="H39" s="28"/>
      <c r="I39" s="28"/>
      <c r="J39" s="28"/>
      <c r="K39" s="54"/>
      <c r="P39" s="10"/>
    </row>
    <row r="40" spans="2:16" x14ac:dyDescent="0.2">
      <c r="B40" s="74" t="s">
        <v>5</v>
      </c>
      <c r="C40" s="111">
        <f>'Scenario Metrics'!C40-'Baseline Metrics'!C42</f>
        <v>1.2494321674860975E-2</v>
      </c>
      <c r="D40" s="100">
        <f>2500000</f>
        <v>2500000</v>
      </c>
      <c r="E40" s="73">
        <f>D40*C40</f>
        <v>31235.80418715244</v>
      </c>
      <c r="F40" s="28"/>
      <c r="G40" s="28"/>
      <c r="H40" s="28"/>
      <c r="I40" s="28"/>
      <c r="J40" s="28"/>
      <c r="K40" s="54"/>
      <c r="L40" s="28"/>
      <c r="M40" s="28"/>
      <c r="P40" s="10"/>
    </row>
    <row r="41" spans="2:16" x14ac:dyDescent="0.2">
      <c r="B41" s="79"/>
      <c r="C41" s="105"/>
      <c r="D41" s="80"/>
      <c r="E41" s="80"/>
      <c r="F41" s="28"/>
      <c r="G41" s="28"/>
      <c r="H41" s="28"/>
      <c r="I41" s="28"/>
      <c r="J41" s="28"/>
      <c r="K41" s="54"/>
      <c r="L41" s="28"/>
      <c r="M41" s="28"/>
      <c r="N41" s="10"/>
      <c r="O41" s="10"/>
      <c r="P41" s="10"/>
    </row>
    <row r="42" spans="2:16" x14ac:dyDescent="0.2">
      <c r="B42" s="3" t="s">
        <v>113</v>
      </c>
      <c r="L42" s="28"/>
      <c r="M42" s="28"/>
      <c r="N42" s="10"/>
      <c r="O42" s="10"/>
    </row>
    <row r="43" spans="2:16" ht="25.5" x14ac:dyDescent="0.2">
      <c r="B43" s="112" t="s">
        <v>71</v>
      </c>
      <c r="C43" s="44" t="s">
        <v>1</v>
      </c>
      <c r="D43" s="44" t="s">
        <v>17</v>
      </c>
      <c r="E43" s="113" t="s">
        <v>16</v>
      </c>
      <c r="G43" s="79"/>
      <c r="H43" s="79"/>
      <c r="I43" s="28"/>
      <c r="J43" s="28"/>
      <c r="K43" s="54"/>
      <c r="L43" s="28"/>
      <c r="M43" s="28"/>
      <c r="N43" s="10"/>
      <c r="O43" s="10"/>
    </row>
    <row r="44" spans="2:16" x14ac:dyDescent="0.2">
      <c r="B44" s="55" t="s">
        <v>6</v>
      </c>
      <c r="C44" s="66">
        <f>'Scenario Metrics'!C44-'Baseline Metrics'!C46</f>
        <v>-5832.2711005173041</v>
      </c>
      <c r="D44" s="114">
        <v>55.34</v>
      </c>
      <c r="E44" s="64">
        <f>D44*C44</f>
        <v>-322757.88270262763</v>
      </c>
      <c r="G44" s="79"/>
      <c r="H44" s="79"/>
      <c r="I44" s="28"/>
      <c r="J44" s="28"/>
      <c r="K44" s="54"/>
      <c r="L44" s="28"/>
      <c r="M44" s="28"/>
      <c r="N44" s="10"/>
      <c r="O44" s="10"/>
    </row>
    <row r="45" spans="2:16" x14ac:dyDescent="0.2">
      <c r="B45" s="55" t="s">
        <v>7</v>
      </c>
      <c r="C45" s="66">
        <f>'Scenario Metrics'!C45-'Baseline Metrics'!C47</f>
        <v>11.579870278064618</v>
      </c>
      <c r="D45" s="114">
        <v>380</v>
      </c>
      <c r="E45" s="64">
        <f>D45*C45</f>
        <v>4400.3507056645549</v>
      </c>
      <c r="G45" s="79"/>
      <c r="H45" s="79"/>
      <c r="I45" s="28"/>
      <c r="J45" s="28"/>
      <c r="K45" s="54"/>
    </row>
    <row r="46" spans="2:16" x14ac:dyDescent="0.2">
      <c r="B46" s="55" t="s">
        <v>8</v>
      </c>
      <c r="C46" s="66">
        <f>'Scenario Metrics'!C46-'Baseline Metrics'!C48</f>
        <v>-0.59153881332644431</v>
      </c>
      <c r="D46" s="114">
        <v>9800</v>
      </c>
      <c r="E46" s="64">
        <f>D46*C46</f>
        <v>-5797.0803705991539</v>
      </c>
      <c r="G46" s="79"/>
      <c r="H46" s="79"/>
      <c r="I46" s="28"/>
      <c r="J46" s="28"/>
      <c r="K46" s="54"/>
      <c r="L46" s="28"/>
      <c r="M46" s="28"/>
    </row>
    <row r="47" spans="2:16" x14ac:dyDescent="0.2">
      <c r="B47" s="55" t="s">
        <v>9</v>
      </c>
      <c r="C47" s="66">
        <f>'Scenario Metrics'!C47-'Baseline Metrics'!C49</f>
        <v>-9.6616261545418691E-2</v>
      </c>
      <c r="D47" s="114">
        <v>7800</v>
      </c>
      <c r="E47" s="64">
        <f>D47*C47</f>
        <v>-753.60684005426583</v>
      </c>
      <c r="G47" s="79"/>
      <c r="H47" s="79"/>
      <c r="I47" s="28"/>
      <c r="J47" s="28"/>
      <c r="K47" s="54"/>
      <c r="L47" s="28"/>
      <c r="M47" s="28"/>
    </row>
    <row r="48" spans="2:16" x14ac:dyDescent="0.2">
      <c r="B48" s="74" t="s">
        <v>10</v>
      </c>
      <c r="C48" s="77">
        <f>'Scenario Metrics'!C48-'Baseline Metrics'!C50</f>
        <v>-1.0354770950496999</v>
      </c>
      <c r="D48" s="115">
        <v>6500</v>
      </c>
      <c r="E48" s="73">
        <f>D48*C48</f>
        <v>-6730.6011178230492</v>
      </c>
      <c r="G48" s="79"/>
      <c r="H48" s="79"/>
      <c r="I48" s="28"/>
      <c r="J48" s="28"/>
      <c r="K48" s="54"/>
      <c r="L48" s="28"/>
      <c r="M48" s="28"/>
    </row>
    <row r="49" spans="2:16" x14ac:dyDescent="0.2">
      <c r="B49" s="79"/>
      <c r="C49" s="79"/>
      <c r="D49" s="79"/>
      <c r="E49" s="79"/>
      <c r="F49" s="79"/>
      <c r="G49" s="79"/>
      <c r="H49" s="79"/>
      <c r="I49" s="28"/>
      <c r="J49" s="28"/>
      <c r="K49" s="54"/>
      <c r="L49" s="28"/>
      <c r="M49" s="28"/>
    </row>
    <row r="50" spans="2:16" s="116" customFormat="1" x14ac:dyDescent="0.2">
      <c r="B50" s="3" t="s">
        <v>112</v>
      </c>
      <c r="C50" s="14"/>
      <c r="D50" s="14"/>
      <c r="E50" s="14"/>
      <c r="F50" s="14"/>
      <c r="G50" s="14"/>
      <c r="H50" s="14"/>
      <c r="I50" s="14"/>
      <c r="J50" s="14"/>
      <c r="K50" s="29"/>
      <c r="L50" s="28"/>
      <c r="M50" s="28"/>
      <c r="N50" s="28"/>
      <c r="O50" s="28"/>
      <c r="P50" s="117"/>
    </row>
    <row r="51" spans="2:16" ht="25.5" x14ac:dyDescent="0.2">
      <c r="B51" s="42" t="s">
        <v>19</v>
      </c>
      <c r="C51" s="45" t="s">
        <v>1</v>
      </c>
      <c r="D51" s="45"/>
      <c r="E51" s="45" t="s">
        <v>17</v>
      </c>
      <c r="F51" s="46" t="s">
        <v>16</v>
      </c>
      <c r="G51" s="79"/>
      <c r="H51" s="79"/>
      <c r="L51" s="28"/>
      <c r="M51" s="28"/>
    </row>
    <row r="52" spans="2:16" x14ac:dyDescent="0.2">
      <c r="B52" s="55" t="s">
        <v>158</v>
      </c>
      <c r="C52" s="66">
        <f>'Scenario Metrics'!C52-'Baseline Metrics'!C54</f>
        <v>-21098.372070999991</v>
      </c>
      <c r="D52" s="79"/>
      <c r="E52" s="169">
        <v>49</v>
      </c>
      <c r="F52" s="173">
        <f>C52*E52</f>
        <v>-1033820.2314789996</v>
      </c>
      <c r="G52" s="79"/>
      <c r="H52" s="79"/>
      <c r="L52" s="28"/>
      <c r="M52" s="28"/>
    </row>
    <row r="53" spans="2:16" x14ac:dyDescent="0.2">
      <c r="B53" s="55" t="s">
        <v>176</v>
      </c>
      <c r="C53" s="66">
        <f>'Scenario Metrics'!C53-'Baseline Metrics'!C55</f>
        <v>148959.65625</v>
      </c>
      <c r="D53" s="79"/>
      <c r="E53" s="169">
        <v>0.99</v>
      </c>
      <c r="F53" s="173">
        <f t="shared" ref="F53:F57" si="2">C53*E53</f>
        <v>147470.0596875</v>
      </c>
      <c r="G53" s="79"/>
      <c r="H53" s="79"/>
      <c r="L53" s="14"/>
      <c r="M53" s="14"/>
      <c r="N53" s="117"/>
      <c r="O53" s="117"/>
    </row>
    <row r="54" spans="2:16" x14ac:dyDescent="0.2">
      <c r="B54" s="55" t="s">
        <v>159</v>
      </c>
      <c r="C54" s="66">
        <f>'Scenario Metrics'!C54-'Baseline Metrics'!C56</f>
        <v>456935.91406500002</v>
      </c>
      <c r="D54" s="79"/>
      <c r="E54" s="170">
        <v>1</v>
      </c>
      <c r="F54" s="173">
        <f t="shared" si="2"/>
        <v>456935.91406500002</v>
      </c>
      <c r="G54" s="79"/>
      <c r="H54" s="79"/>
    </row>
    <row r="55" spans="2:16" x14ac:dyDescent="0.2">
      <c r="B55" s="55" t="s">
        <v>160</v>
      </c>
      <c r="C55" s="66">
        <f>'Scenario Metrics'!C55-'Baseline Metrics'!C57</f>
        <v>-10930.480162</v>
      </c>
      <c r="D55" s="79"/>
      <c r="E55" s="169">
        <v>54.45</v>
      </c>
      <c r="F55" s="173">
        <f t="shared" si="2"/>
        <v>-595164.64482090005</v>
      </c>
    </row>
    <row r="56" spans="2:16" x14ac:dyDescent="0.2">
      <c r="B56" s="55" t="s">
        <v>177</v>
      </c>
      <c r="C56" s="66">
        <f>'Scenario Metrics'!C56-'Baseline Metrics'!C58</f>
        <v>24938.13671900006</v>
      </c>
      <c r="D56" s="79"/>
      <c r="E56" s="169">
        <v>0.99</v>
      </c>
      <c r="F56" s="173">
        <f t="shared" si="2"/>
        <v>24688.755351810058</v>
      </c>
    </row>
    <row r="57" spans="2:16" x14ac:dyDescent="0.2">
      <c r="B57" s="74" t="s">
        <v>161</v>
      </c>
      <c r="C57" s="77">
        <f>'Scenario Metrics'!C57-'Baseline Metrics'!C59</f>
        <v>418312.94677400007</v>
      </c>
      <c r="D57" s="118"/>
      <c r="E57" s="118">
        <v>1</v>
      </c>
      <c r="F57" s="173">
        <f t="shared" si="2"/>
        <v>418312.94677400007</v>
      </c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U18" sqref="U18"/>
    </sheetView>
  </sheetViews>
  <sheetFormatPr defaultRowHeight="15" x14ac:dyDescent="0.25"/>
  <cols>
    <col min="1" max="16" width="9.140625" style="15"/>
    <col min="17" max="17" width="26.85546875" style="15" bestFit="1" customWidth="1"/>
    <col min="18" max="18" width="16.7109375" style="15" bestFit="1" customWidth="1"/>
    <col min="19" max="19" width="15.28515625" style="15" bestFit="1" customWidth="1"/>
    <col min="20" max="20" width="18" style="15" bestFit="1" customWidth="1"/>
    <col min="21" max="16384" width="9.140625" style="15"/>
  </cols>
  <sheetData>
    <row r="1" spans="1:22" s="7" customFormat="1" ht="26.25" thickBot="1" x14ac:dyDescent="0.4">
      <c r="A1" s="4" t="s">
        <v>130</v>
      </c>
      <c r="B1" s="5"/>
      <c r="C1" s="6"/>
      <c r="D1" s="6"/>
      <c r="E1" s="6"/>
      <c r="F1" s="6"/>
      <c r="G1" s="6"/>
      <c r="H1" s="6"/>
      <c r="I1" s="6"/>
      <c r="J1" s="6"/>
      <c r="K1" s="5"/>
      <c r="L1" s="6"/>
      <c r="M1" s="6"/>
    </row>
    <row r="2" spans="1:22" ht="18.75" x14ac:dyDescent="0.3">
      <c r="A2" s="128" t="s">
        <v>131</v>
      </c>
    </row>
    <row r="4" spans="1:22" x14ac:dyDescent="0.25">
      <c r="Q4" s="42" t="s">
        <v>25</v>
      </c>
      <c r="R4" s="45" t="s">
        <v>132</v>
      </c>
      <c r="S4" s="46" t="s">
        <v>133</v>
      </c>
      <c r="T4" s="135" t="s">
        <v>139</v>
      </c>
    </row>
    <row r="5" spans="1:22" x14ac:dyDescent="0.25">
      <c r="Q5" s="55" t="s">
        <v>134</v>
      </c>
      <c r="R5" s="136">
        <v>635</v>
      </c>
      <c r="S5" s="137">
        <v>196</v>
      </c>
      <c r="T5" s="131">
        <f>SUM(R5:S5)</f>
        <v>831</v>
      </c>
      <c r="U5" s="15" t="s">
        <v>137</v>
      </c>
      <c r="V5" s="15">
        <v>300</v>
      </c>
    </row>
    <row r="6" spans="1:22" x14ac:dyDescent="0.25">
      <c r="Q6" s="55" t="s">
        <v>135</v>
      </c>
      <c r="R6" s="138">
        <v>1588980000</v>
      </c>
      <c r="S6" s="139">
        <v>492044000</v>
      </c>
      <c r="T6" s="132">
        <f t="shared" ref="T6:T8" si="0">SUM(R6:S6)</f>
        <v>2081024000</v>
      </c>
    </row>
    <row r="7" spans="1:22" x14ac:dyDescent="0.25">
      <c r="Q7" s="23" t="s">
        <v>136</v>
      </c>
      <c r="R7" s="129">
        <f>R5/$V$5</f>
        <v>2.1166666666666667</v>
      </c>
      <c r="S7" s="130">
        <f>S5/$V$5</f>
        <v>0.65333333333333332</v>
      </c>
      <c r="T7" s="131">
        <f t="shared" si="0"/>
        <v>2.77</v>
      </c>
    </row>
    <row r="8" spans="1:22" x14ac:dyDescent="0.25">
      <c r="Q8" s="38" t="s">
        <v>138</v>
      </c>
      <c r="R8" s="133">
        <f>R6/$V$5</f>
        <v>5296600</v>
      </c>
      <c r="S8" s="134">
        <f>S6/$V$5</f>
        <v>1640146.6666666667</v>
      </c>
      <c r="T8" s="134">
        <f t="shared" si="0"/>
        <v>6936746.666666667</v>
      </c>
    </row>
    <row r="12" spans="1:22" x14ac:dyDescent="0.25">
      <c r="Q12" s="164" t="s">
        <v>140</v>
      </c>
      <c r="R12" s="165"/>
      <c r="S12" s="165"/>
      <c r="T12" s="165"/>
    </row>
    <row r="13" spans="1:22" x14ac:dyDescent="0.25">
      <c r="Q13" s="165"/>
      <c r="R13" s="165"/>
      <c r="S13" s="165"/>
      <c r="T13" s="165"/>
    </row>
  </sheetData>
  <mergeCells count="1">
    <mergeCell ref="Q12:T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83"/>
  <sheetViews>
    <sheetView workbookViewId="0">
      <selection activeCell="P16" sqref="P16"/>
    </sheetView>
  </sheetViews>
  <sheetFormatPr defaultRowHeight="15" x14ac:dyDescent="0.25"/>
  <cols>
    <col min="1" max="16384" width="9.140625" style="1"/>
  </cols>
  <sheetData>
    <row r="2" spans="1:3" x14ac:dyDescent="0.25">
      <c r="B2" s="2" t="s">
        <v>75</v>
      </c>
      <c r="C2" s="2" t="s">
        <v>76</v>
      </c>
    </row>
    <row r="3" spans="1:3" x14ac:dyDescent="0.25">
      <c r="A3" s="2">
        <v>0</v>
      </c>
      <c r="B3" s="1">
        <v>894825</v>
      </c>
      <c r="C3" s="1">
        <v>4771555</v>
      </c>
    </row>
    <row r="22" spans="1:5" x14ac:dyDescent="0.25">
      <c r="A22" s="2" t="s">
        <v>56</v>
      </c>
      <c r="B22" s="2" t="s">
        <v>52</v>
      </c>
      <c r="C22" s="2" t="s">
        <v>53</v>
      </c>
      <c r="D22" s="2" t="s">
        <v>54</v>
      </c>
      <c r="E22" s="2" t="s">
        <v>55</v>
      </c>
    </row>
    <row r="23" spans="1:5" x14ac:dyDescent="0.25">
      <c r="A23" s="2" t="s">
        <v>57</v>
      </c>
      <c r="B23" s="1">
        <v>43154.724112801399</v>
      </c>
      <c r="C23" s="1">
        <v>0</v>
      </c>
      <c r="D23" s="1">
        <v>186210.07947659399</v>
      </c>
      <c r="E23" s="1">
        <v>0</v>
      </c>
    </row>
    <row r="24" spans="1:5" x14ac:dyDescent="0.25">
      <c r="A24" s="2" t="s">
        <v>58</v>
      </c>
      <c r="B24" s="1">
        <v>184742.378062512</v>
      </c>
      <c r="C24" s="1">
        <v>5053125.6334945802</v>
      </c>
      <c r="D24" s="1">
        <v>1128192.4648624801</v>
      </c>
      <c r="E24" s="1">
        <v>808632.472155964</v>
      </c>
    </row>
    <row r="25" spans="1:5" x14ac:dyDescent="0.25">
      <c r="A25" s="2" t="s">
        <v>59</v>
      </c>
      <c r="B25" s="1">
        <v>90722.431543291503</v>
      </c>
      <c r="C25" s="1">
        <v>3004343.4596967399</v>
      </c>
      <c r="D25" s="1">
        <v>670948.25127255102</v>
      </c>
      <c r="E25" s="1">
        <v>395090.79406414402</v>
      </c>
    </row>
    <row r="26" spans="1:5" x14ac:dyDescent="0.25">
      <c r="A26" s="2" t="s">
        <v>141</v>
      </c>
      <c r="B26" s="1">
        <v>0</v>
      </c>
      <c r="C26" s="1">
        <v>0</v>
      </c>
      <c r="D26" s="1">
        <v>0</v>
      </c>
      <c r="E26" s="1">
        <v>0</v>
      </c>
    </row>
    <row r="27" spans="1:5" x14ac:dyDescent="0.25">
      <c r="A27" s="2" t="s">
        <v>60</v>
      </c>
      <c r="B27" s="1">
        <v>376838.93484573998</v>
      </c>
      <c r="C27" s="1">
        <v>11623040.6758647</v>
      </c>
      <c r="D27" s="1">
        <v>2574180.4397097998</v>
      </c>
      <c r="E27" s="1">
        <v>1613823.28267211</v>
      </c>
    </row>
    <row r="28" spans="1:5" x14ac:dyDescent="0.25">
      <c r="A28" s="2" t="s">
        <v>61</v>
      </c>
      <c r="B28" s="1">
        <v>9608.8798993704095</v>
      </c>
      <c r="C28" s="1">
        <v>234990.10823462301</v>
      </c>
      <c r="D28" s="1">
        <v>66915.878548294306</v>
      </c>
      <c r="E28" s="1">
        <v>32088.079307197</v>
      </c>
    </row>
    <row r="29" spans="1:5" x14ac:dyDescent="0.25">
      <c r="A29" s="2" t="s">
        <v>62</v>
      </c>
      <c r="B29" s="1">
        <v>103333.15798670999</v>
      </c>
      <c r="C29" s="1">
        <v>677421.97600002005</v>
      </c>
      <c r="D29" s="1">
        <v>427789.29282321502</v>
      </c>
      <c r="E29" s="1">
        <v>167397.08199999901</v>
      </c>
    </row>
    <row r="30" spans="1:5" x14ac:dyDescent="0.25">
      <c r="A30" s="2" t="s">
        <v>63</v>
      </c>
      <c r="B30" s="1">
        <v>418005.89911944501</v>
      </c>
      <c r="C30" s="1">
        <v>0</v>
      </c>
      <c r="D30" s="1">
        <v>1849964.8581043901</v>
      </c>
      <c r="E30" s="1">
        <v>0</v>
      </c>
    </row>
    <row r="42" spans="1:8" x14ac:dyDescent="0.25">
      <c r="B42" s="2" t="s">
        <v>57</v>
      </c>
      <c r="C42" s="2" t="s">
        <v>58</v>
      </c>
      <c r="D42" s="2" t="s">
        <v>59</v>
      </c>
      <c r="E42" s="2" t="s">
        <v>60</v>
      </c>
      <c r="F42" s="2" t="s">
        <v>61</v>
      </c>
      <c r="G42" s="2" t="s">
        <v>62</v>
      </c>
      <c r="H42" s="2" t="s">
        <v>63</v>
      </c>
    </row>
    <row r="43" spans="1:8" x14ac:dyDescent="0.25">
      <c r="A43" s="2" t="s">
        <v>77</v>
      </c>
      <c r="B43" s="1">
        <v>177423</v>
      </c>
      <c r="C43" s="1">
        <v>1663736</v>
      </c>
      <c r="D43" s="1">
        <v>1033245</v>
      </c>
      <c r="E43" s="1">
        <v>2316215</v>
      </c>
      <c r="F43" s="1">
        <v>183862</v>
      </c>
      <c r="G43" s="1">
        <v>303032</v>
      </c>
      <c r="H43" s="1">
        <v>1226426</v>
      </c>
    </row>
    <row r="62" spans="1:8" x14ac:dyDescent="0.25">
      <c r="B62" s="2" t="s">
        <v>57</v>
      </c>
      <c r="C62" s="2" t="s">
        <v>58</v>
      </c>
      <c r="D62" s="2" t="s">
        <v>59</v>
      </c>
      <c r="E62" s="2" t="s">
        <v>60</v>
      </c>
      <c r="F62" s="2" t="s">
        <v>61</v>
      </c>
      <c r="G62" s="2" t="s">
        <v>62</v>
      </c>
      <c r="H62" s="2" t="s">
        <v>63</v>
      </c>
    </row>
    <row r="63" spans="1:8" x14ac:dyDescent="0.25">
      <c r="A63" s="2" t="s">
        <v>77</v>
      </c>
      <c r="B63" s="1">
        <v>39456</v>
      </c>
      <c r="C63" s="1">
        <v>274909</v>
      </c>
      <c r="D63" s="1">
        <v>147332</v>
      </c>
      <c r="E63" s="1">
        <v>376913</v>
      </c>
      <c r="F63" s="1">
        <v>26699</v>
      </c>
      <c r="G63" s="1">
        <v>70416</v>
      </c>
      <c r="H63" s="1">
        <v>257118</v>
      </c>
    </row>
    <row r="82" spans="1:3" x14ac:dyDescent="0.25">
      <c r="B82" s="2" t="s">
        <v>25</v>
      </c>
      <c r="C82" s="2" t="s">
        <v>23</v>
      </c>
    </row>
    <row r="83" spans="1:3" x14ac:dyDescent="0.25">
      <c r="A83" s="2">
        <v>2</v>
      </c>
      <c r="B83" s="1" t="s">
        <v>24</v>
      </c>
      <c r="C83" s="1">
        <v>75003062.846554294</v>
      </c>
    </row>
    <row r="84" spans="1:3" x14ac:dyDescent="0.25">
      <c r="A84" s="2">
        <v>0</v>
      </c>
      <c r="B84" s="1" t="s">
        <v>64</v>
      </c>
      <c r="C84" s="1">
        <v>12327664.069999401</v>
      </c>
    </row>
    <row r="85" spans="1:3" x14ac:dyDescent="0.25">
      <c r="A85" s="2">
        <v>1</v>
      </c>
      <c r="B85" s="1" t="s">
        <v>14</v>
      </c>
      <c r="C85" s="1">
        <v>2760935.9240285601</v>
      </c>
    </row>
    <row r="86" spans="1:3" x14ac:dyDescent="0.25">
      <c r="A86" s="2">
        <v>3</v>
      </c>
      <c r="B86" s="1" t="s">
        <v>65</v>
      </c>
      <c r="C86" s="1">
        <v>317488.48879814002</v>
      </c>
    </row>
    <row r="102" spans="1:3" x14ac:dyDescent="0.25">
      <c r="B102" s="2" t="s">
        <v>25</v>
      </c>
      <c r="C102" s="2" t="s">
        <v>23</v>
      </c>
    </row>
    <row r="103" spans="1:3" x14ac:dyDescent="0.25">
      <c r="A103" s="2">
        <v>0</v>
      </c>
      <c r="B103" s="1" t="s">
        <v>143</v>
      </c>
      <c r="C103" s="1">
        <v>104.977984342006</v>
      </c>
    </row>
    <row r="104" spans="1:3" x14ac:dyDescent="0.25">
      <c r="A104" s="2">
        <v>1</v>
      </c>
      <c r="B104" s="1" t="s">
        <v>144</v>
      </c>
      <c r="C104" s="1">
        <v>305433</v>
      </c>
    </row>
    <row r="105" spans="1:3" x14ac:dyDescent="0.25">
      <c r="A105" s="2">
        <v>2</v>
      </c>
      <c r="B105" s="1" t="s">
        <v>13</v>
      </c>
      <c r="C105" s="1">
        <v>177423</v>
      </c>
    </row>
    <row r="106" spans="1:3" x14ac:dyDescent="0.25">
      <c r="A106" s="2">
        <v>3</v>
      </c>
      <c r="B106" s="1" t="s">
        <v>79</v>
      </c>
      <c r="C106" s="1">
        <v>39456</v>
      </c>
    </row>
    <row r="107" spans="1:3" x14ac:dyDescent="0.25">
      <c r="A107" s="2">
        <v>4</v>
      </c>
      <c r="B107" s="1" t="s">
        <v>26</v>
      </c>
      <c r="C107" s="1">
        <v>62.971569461655697</v>
      </c>
    </row>
    <row r="108" spans="1:3" x14ac:dyDescent="0.25">
      <c r="A108" s="2">
        <v>5</v>
      </c>
      <c r="B108" s="1" t="s">
        <v>145</v>
      </c>
      <c r="C108" s="1">
        <v>1424190</v>
      </c>
    </row>
    <row r="109" spans="1:3" x14ac:dyDescent="0.25">
      <c r="A109" s="2">
        <v>6</v>
      </c>
      <c r="B109" s="1" t="s">
        <v>78</v>
      </c>
      <c r="C109" s="1">
        <v>65.624580463505694</v>
      </c>
    </row>
    <row r="110" spans="1:3" x14ac:dyDescent="0.25">
      <c r="A110" s="2">
        <v>7</v>
      </c>
      <c r="B110" s="1" t="s">
        <v>142</v>
      </c>
      <c r="C110" s="1">
        <v>112.502123124245</v>
      </c>
    </row>
    <row r="122" spans="1:5" x14ac:dyDescent="0.25">
      <c r="B122" s="2" t="s">
        <v>27</v>
      </c>
      <c r="C122" s="2" t="s">
        <v>28</v>
      </c>
      <c r="D122" s="2" t="s">
        <v>29</v>
      </c>
      <c r="E122" s="2" t="s">
        <v>30</v>
      </c>
    </row>
    <row r="123" spans="1:5" x14ac:dyDescent="0.25">
      <c r="A123" s="2" t="s">
        <v>31</v>
      </c>
      <c r="B123" s="1">
        <v>40048.646266687399</v>
      </c>
      <c r="C123" s="1">
        <v>4156.9592522703597</v>
      </c>
      <c r="D123" s="1">
        <v>0</v>
      </c>
      <c r="E123" s="1">
        <v>8812.5288549240195</v>
      </c>
    </row>
    <row r="124" spans="1:5" x14ac:dyDescent="0.25">
      <c r="A124" s="2" t="s">
        <v>32</v>
      </c>
      <c r="B124" s="1">
        <v>1184.51508497804</v>
      </c>
      <c r="C124" s="1">
        <v>6.34513799340204</v>
      </c>
      <c r="D124" s="1">
        <v>0</v>
      </c>
      <c r="E124" s="1">
        <v>13.2002258854501</v>
      </c>
    </row>
    <row r="125" spans="1:5" x14ac:dyDescent="0.25">
      <c r="A125" s="2" t="s">
        <v>33</v>
      </c>
      <c r="B125" s="1">
        <v>36.941042036553199</v>
      </c>
      <c r="C125" s="1">
        <v>1.02635077539507</v>
      </c>
      <c r="D125" s="1">
        <v>0</v>
      </c>
      <c r="E125" s="1">
        <v>2.0107555872693701</v>
      </c>
    </row>
    <row r="126" spans="1:5" x14ac:dyDescent="0.25">
      <c r="A126" s="2" t="s">
        <v>34</v>
      </c>
      <c r="B126" s="1">
        <v>1.05372661822779</v>
      </c>
      <c r="C126" s="1">
        <v>9.7835340593898298E-2</v>
      </c>
      <c r="D126" s="1">
        <v>0</v>
      </c>
      <c r="E126" s="1">
        <v>0.20049459449503401</v>
      </c>
    </row>
    <row r="127" spans="1:5" x14ac:dyDescent="0.25">
      <c r="A127" s="2" t="s">
        <v>35</v>
      </c>
      <c r="B127" s="1">
        <v>48.403883526790899</v>
      </c>
      <c r="C127" s="1">
        <v>0.54854408581431302</v>
      </c>
      <c r="D127" s="1">
        <v>0</v>
      </c>
      <c r="E127" s="1">
        <v>1.18391588874179</v>
      </c>
    </row>
    <row r="128" spans="1:5" x14ac:dyDescent="0.25">
      <c r="A128" s="2" t="s">
        <v>31</v>
      </c>
      <c r="B128" s="1">
        <v>2216292.0843984801</v>
      </c>
      <c r="C128" s="1">
        <v>230046.12502064201</v>
      </c>
      <c r="D128" s="1">
        <v>0</v>
      </c>
      <c r="E128" s="1">
        <v>487685.34683149599</v>
      </c>
    </row>
    <row r="129" spans="1:5" x14ac:dyDescent="0.25">
      <c r="A129" s="2" t="s">
        <v>32</v>
      </c>
      <c r="B129" s="1">
        <v>450115.73229165399</v>
      </c>
      <c r="C129" s="1">
        <v>2411.1524374927699</v>
      </c>
      <c r="D129" s="1">
        <v>0</v>
      </c>
      <c r="E129" s="1">
        <v>5016.0858364710502</v>
      </c>
    </row>
    <row r="130" spans="1:5" x14ac:dyDescent="0.25">
      <c r="A130" s="2" t="s">
        <v>33</v>
      </c>
      <c r="B130" s="1">
        <v>362022.21195822197</v>
      </c>
      <c r="C130" s="1">
        <v>10058.237598871599</v>
      </c>
      <c r="D130" s="1">
        <v>0</v>
      </c>
      <c r="E130" s="1">
        <v>19705.404755239899</v>
      </c>
    </row>
    <row r="131" spans="1:5" x14ac:dyDescent="0.25">
      <c r="A131" s="2" t="s">
        <v>35</v>
      </c>
      <c r="B131" s="1">
        <v>377550.29150896898</v>
      </c>
      <c r="C131" s="1">
        <v>4278.6438693516402</v>
      </c>
      <c r="D131" s="1">
        <v>0</v>
      </c>
      <c r="E131" s="1">
        <v>9234.5439321859903</v>
      </c>
    </row>
    <row r="132" spans="1:5" x14ac:dyDescent="0.25">
      <c r="A132" s="2" t="s">
        <v>34</v>
      </c>
      <c r="B132" s="1">
        <v>6849.2230184806504</v>
      </c>
      <c r="C132" s="1">
        <v>635.92971386033901</v>
      </c>
      <c r="D132" s="1">
        <v>0</v>
      </c>
      <c r="E132" s="1">
        <v>1303.2148642177201</v>
      </c>
    </row>
    <row r="142" spans="1:5" x14ac:dyDescent="0.25">
      <c r="B142" s="2" t="s">
        <v>36</v>
      </c>
      <c r="C142" s="2" t="s">
        <v>37</v>
      </c>
    </row>
    <row r="143" spans="1:5" x14ac:dyDescent="0.25">
      <c r="A143" s="2">
        <v>0</v>
      </c>
      <c r="B143" s="1">
        <v>90838501.571361497</v>
      </c>
      <c r="C143" s="1">
        <v>7830182.0233315602</v>
      </c>
    </row>
    <row r="162" spans="1:12" x14ac:dyDescent="0.25">
      <c r="B162" s="2" t="s">
        <v>38</v>
      </c>
      <c r="C162" s="2" t="s">
        <v>39</v>
      </c>
      <c r="D162" s="2" t="s">
        <v>40</v>
      </c>
      <c r="E162" s="2" t="s">
        <v>41</v>
      </c>
      <c r="F162" s="2" t="s">
        <v>42</v>
      </c>
      <c r="G162" s="2" t="s">
        <v>43</v>
      </c>
      <c r="H162" s="2" t="s">
        <v>44</v>
      </c>
      <c r="I162" s="2" t="s">
        <v>45</v>
      </c>
      <c r="J162" s="2" t="s">
        <v>46</v>
      </c>
      <c r="K162" s="2" t="s">
        <v>47</v>
      </c>
      <c r="L162" s="2" t="s">
        <v>48</v>
      </c>
    </row>
    <row r="163" spans="1:12" x14ac:dyDescent="0.25">
      <c r="A163" s="2">
        <v>0</v>
      </c>
      <c r="B163" s="1">
        <v>1</v>
      </c>
      <c r="C163" s="1">
        <v>1.4570000000000001</v>
      </c>
      <c r="D163" s="1">
        <v>0.70411699999999999</v>
      </c>
      <c r="E163" s="1">
        <v>1.2999999999999999E-2</v>
      </c>
      <c r="F163" s="1">
        <v>37061366.492732398</v>
      </c>
      <c r="G163" s="1">
        <v>53.9984109799111</v>
      </c>
      <c r="H163" s="1">
        <v>26.0955381907632</v>
      </c>
      <c r="I163" s="1">
        <v>0.48179776440552102</v>
      </c>
      <c r="J163" s="1">
        <v>140395.868547769</v>
      </c>
      <c r="K163" s="1">
        <v>1970213133402.6201</v>
      </c>
      <c r="L163" s="1">
        <v>1204494411013.8</v>
      </c>
    </row>
    <row r="164" spans="1:12" x14ac:dyDescent="0.25">
      <c r="A164" s="2">
        <v>1</v>
      </c>
      <c r="B164" s="1">
        <v>3</v>
      </c>
      <c r="C164" s="1">
        <v>1.4570000000000001</v>
      </c>
      <c r="D164" s="1">
        <v>0.82551600000000003</v>
      </c>
      <c r="E164" s="1">
        <v>1.5299999999999999E-2</v>
      </c>
      <c r="F164" s="1">
        <v>5395834.8543136902</v>
      </c>
      <c r="G164" s="1">
        <v>7.8617313827350497</v>
      </c>
      <c r="H164" s="1">
        <v>4.4543480055936202</v>
      </c>
      <c r="I164" s="1">
        <v>8.25562732709995E-2</v>
      </c>
      <c r="J164" s="1">
        <v>20440.501595111102</v>
      </c>
      <c r="K164" s="1">
        <v>336303274422.31799</v>
      </c>
      <c r="L164" s="1">
        <v>206390683177.49899</v>
      </c>
    </row>
    <row r="165" spans="1:12" x14ac:dyDescent="0.25">
      <c r="A165" s="2">
        <v>2</v>
      </c>
      <c r="B165" s="1">
        <v>5</v>
      </c>
      <c r="C165" s="1">
        <v>1.4570000000000001</v>
      </c>
      <c r="D165" s="1">
        <v>0.82551600000000003</v>
      </c>
      <c r="E165" s="1">
        <v>1.5299999999999999E-2</v>
      </c>
      <c r="F165" s="1">
        <v>27056239.519419301</v>
      </c>
      <c r="G165" s="1">
        <v>39.420940979793997</v>
      </c>
      <c r="H165" s="1">
        <v>22.335358623112999</v>
      </c>
      <c r="I165" s="1">
        <v>0.413960464647116</v>
      </c>
      <c r="J165" s="1">
        <v>102494.446547464</v>
      </c>
      <c r="K165" s="1">
        <v>1686319576045.03</v>
      </c>
      <c r="L165" s="1">
        <v>1034901161617.79</v>
      </c>
    </row>
    <row r="166" spans="1:12" x14ac:dyDescent="0.25">
      <c r="A166" s="2">
        <v>3</v>
      </c>
      <c r="B166" s="1">
        <v>7</v>
      </c>
      <c r="C166" s="1">
        <v>1.4570000000000001</v>
      </c>
      <c r="D166" s="1">
        <v>0.82551600000000003</v>
      </c>
      <c r="E166" s="1">
        <v>1.5299999999999999E-2</v>
      </c>
      <c r="F166" s="1">
        <v>8536264.4929836001</v>
      </c>
      <c r="G166" s="1">
        <v>12.437337366277101</v>
      </c>
      <c r="H166" s="1">
        <v>7.0468229191898502</v>
      </c>
      <c r="I166" s="1">
        <v>0.13060484674264899</v>
      </c>
      <c r="J166" s="1">
        <v>32337.0771523205</v>
      </c>
      <c r="K166" s="1">
        <v>532035130398.83301</v>
      </c>
      <c r="L166" s="1">
        <v>326512116856.62299</v>
      </c>
    </row>
    <row r="182" spans="1:7" x14ac:dyDescent="0.25">
      <c r="B182" s="2" t="s">
        <v>168</v>
      </c>
      <c r="C182" s="2" t="s">
        <v>169</v>
      </c>
      <c r="D182" s="2" t="s">
        <v>170</v>
      </c>
      <c r="E182" s="2" t="s">
        <v>171</v>
      </c>
      <c r="F182" s="2" t="s">
        <v>172</v>
      </c>
      <c r="G182" s="2" t="s">
        <v>173</v>
      </c>
    </row>
    <row r="183" spans="1:7" x14ac:dyDescent="0.25">
      <c r="A183" s="2">
        <v>0</v>
      </c>
      <c r="B183" s="1">
        <v>559922.31494299998</v>
      </c>
      <c r="C183" s="1">
        <v>74816.416014000002</v>
      </c>
      <c r="D183" s="1">
        <v>2597951.8164059999</v>
      </c>
      <c r="E183" s="1">
        <v>338103.8125</v>
      </c>
      <c r="F183" s="1">
        <v>165571.326172</v>
      </c>
      <c r="G183" s="1">
        <v>5328174.6875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83"/>
  <sheetViews>
    <sheetView topLeftCell="A166" workbookViewId="0">
      <selection sqref="A1:L166"/>
    </sheetView>
  </sheetViews>
  <sheetFormatPr defaultRowHeight="15" x14ac:dyDescent="0.25"/>
  <cols>
    <col min="1" max="1" width="18.85546875" style="1" customWidth="1"/>
    <col min="2" max="2" width="43.85546875" style="1" customWidth="1"/>
    <col min="3" max="17" width="18.85546875" style="1" customWidth="1"/>
    <col min="18" max="16384" width="9.140625" style="1"/>
  </cols>
  <sheetData>
    <row r="2" spans="1:3" x14ac:dyDescent="0.25">
      <c r="B2" s="2" t="s">
        <v>75</v>
      </c>
      <c r="C2" s="2" t="s">
        <v>76</v>
      </c>
    </row>
    <row r="3" spans="1:3" x14ac:dyDescent="0.25">
      <c r="A3" s="2">
        <v>0</v>
      </c>
      <c r="B3" s="1">
        <v>894825</v>
      </c>
      <c r="C3" s="1">
        <v>4771555</v>
      </c>
    </row>
    <row r="22" spans="1:5" x14ac:dyDescent="0.25">
      <c r="A22" s="1" t="s">
        <v>56</v>
      </c>
      <c r="B22" s="2" t="s">
        <v>52</v>
      </c>
      <c r="C22" s="2" t="s">
        <v>53</v>
      </c>
      <c r="D22" s="2" t="s">
        <v>54</v>
      </c>
      <c r="E22" s="2" t="s">
        <v>55</v>
      </c>
    </row>
    <row r="23" spans="1:5" x14ac:dyDescent="0.25">
      <c r="A23" s="2" t="s">
        <v>57</v>
      </c>
      <c r="B23" s="1">
        <v>49432.984203789601</v>
      </c>
      <c r="C23" s="1">
        <v>0</v>
      </c>
      <c r="D23" s="1">
        <v>212679.511363169</v>
      </c>
      <c r="E23" s="1">
        <v>0</v>
      </c>
    </row>
    <row r="24" spans="1:5" x14ac:dyDescent="0.25">
      <c r="A24" s="2" t="s">
        <v>58</v>
      </c>
      <c r="B24" s="1">
        <v>180516.72536414699</v>
      </c>
      <c r="C24" s="1">
        <v>5153751.4106704304</v>
      </c>
      <c r="D24" s="1">
        <v>1107753.83578493</v>
      </c>
      <c r="E24" s="1">
        <v>822944.04466795595</v>
      </c>
    </row>
    <row r="25" spans="1:5" x14ac:dyDescent="0.25">
      <c r="A25" s="2" t="s">
        <v>59</v>
      </c>
      <c r="B25" s="1">
        <v>89375.888819276806</v>
      </c>
      <c r="C25" s="1">
        <v>3088836.7417136701</v>
      </c>
      <c r="D25" s="1">
        <v>664252.96100976295</v>
      </c>
      <c r="E25" s="1">
        <v>403928.72954418103</v>
      </c>
    </row>
    <row r="26" spans="1:5" x14ac:dyDescent="0.25">
      <c r="A26" s="2" t="s">
        <v>141</v>
      </c>
      <c r="B26" s="1">
        <v>0</v>
      </c>
      <c r="C26" s="1">
        <v>0</v>
      </c>
      <c r="D26" s="1">
        <v>0</v>
      </c>
      <c r="E26" s="1">
        <v>0</v>
      </c>
    </row>
    <row r="27" spans="1:5" x14ac:dyDescent="0.25">
      <c r="A27" s="2" t="s">
        <v>60</v>
      </c>
      <c r="B27" s="1">
        <v>358360.99862947501</v>
      </c>
      <c r="C27" s="1">
        <v>11465210.6843614</v>
      </c>
      <c r="D27" s="1">
        <v>2424734.47189799</v>
      </c>
      <c r="E27" s="1">
        <v>1606100.33467871</v>
      </c>
    </row>
    <row r="28" spans="1:5" x14ac:dyDescent="0.25">
      <c r="A28" s="2" t="s">
        <v>61</v>
      </c>
      <c r="B28" s="1">
        <v>9593.0205259649392</v>
      </c>
      <c r="C28" s="1">
        <v>243338.61572838901</v>
      </c>
      <c r="D28" s="1">
        <v>67227.792525032099</v>
      </c>
      <c r="E28" s="1">
        <v>32965.972071742501</v>
      </c>
    </row>
    <row r="29" spans="1:5" x14ac:dyDescent="0.25">
      <c r="A29" s="2" t="s">
        <v>62</v>
      </c>
      <c r="B29" s="1">
        <v>112807.376392962</v>
      </c>
      <c r="C29" s="1">
        <v>880745.29599964595</v>
      </c>
      <c r="D29" s="1">
        <v>468089.96529692301</v>
      </c>
      <c r="E29" s="1">
        <v>223546.927000111</v>
      </c>
    </row>
    <row r="30" spans="1:5" x14ac:dyDescent="0.25">
      <c r="A30" s="2" t="s">
        <v>63</v>
      </c>
      <c r="B30" s="1">
        <v>427432.24555718299</v>
      </c>
      <c r="C30" s="1">
        <v>0</v>
      </c>
      <c r="D30" s="1">
        <v>1918645.1946376599</v>
      </c>
      <c r="E30" s="1">
        <v>0</v>
      </c>
    </row>
    <row r="42" spans="1:8" x14ac:dyDescent="0.25">
      <c r="B42" s="2" t="s">
        <v>57</v>
      </c>
      <c r="C42" s="2" t="s">
        <v>58</v>
      </c>
      <c r="D42" s="2" t="s">
        <v>59</v>
      </c>
      <c r="E42" s="2" t="s">
        <v>60</v>
      </c>
      <c r="F42" s="2" t="s">
        <v>61</v>
      </c>
      <c r="G42" s="2" t="s">
        <v>62</v>
      </c>
      <c r="H42" s="2" t="s">
        <v>63</v>
      </c>
    </row>
    <row r="43" spans="1:8" x14ac:dyDescent="0.25">
      <c r="A43" s="2" t="s">
        <v>77</v>
      </c>
      <c r="B43" s="1">
        <v>194424</v>
      </c>
      <c r="C43" s="1">
        <v>1665889</v>
      </c>
      <c r="D43" s="1">
        <v>1036372</v>
      </c>
      <c r="E43" s="1">
        <v>2286018</v>
      </c>
      <c r="F43" s="1">
        <v>182544</v>
      </c>
      <c r="G43" s="1">
        <v>361210</v>
      </c>
      <c r="H43" s="1">
        <v>1283727</v>
      </c>
    </row>
    <row r="62" spans="1:8" x14ac:dyDescent="0.25">
      <c r="B62" s="2" t="s">
        <v>57</v>
      </c>
      <c r="C62" s="2" t="s">
        <v>58</v>
      </c>
      <c r="D62" s="2" t="s">
        <v>59</v>
      </c>
      <c r="E62" s="2" t="s">
        <v>60</v>
      </c>
      <c r="F62" s="2" t="s">
        <v>61</v>
      </c>
      <c r="G62" s="2" t="s">
        <v>62</v>
      </c>
      <c r="H62" s="2" t="s">
        <v>63</v>
      </c>
    </row>
    <row r="63" spans="1:8" x14ac:dyDescent="0.25">
      <c r="A63" s="2" t="s">
        <v>77</v>
      </c>
      <c r="B63" s="1">
        <v>43307</v>
      </c>
      <c r="C63" s="1">
        <v>273042</v>
      </c>
      <c r="D63" s="1">
        <v>146924</v>
      </c>
      <c r="E63" s="1">
        <v>367692</v>
      </c>
      <c r="F63" s="1">
        <v>26427</v>
      </c>
      <c r="G63" s="1">
        <v>82513</v>
      </c>
      <c r="H63" s="1">
        <v>266120</v>
      </c>
    </row>
    <row r="82" spans="1:3" x14ac:dyDescent="0.25">
      <c r="B82" s="2" t="s">
        <v>25</v>
      </c>
      <c r="C82" s="2" t="s">
        <v>23</v>
      </c>
    </row>
    <row r="83" spans="1:3" x14ac:dyDescent="0.25">
      <c r="A83" s="2">
        <v>2</v>
      </c>
      <c r="B83" s="1" t="s">
        <v>24</v>
      </c>
      <c r="C83" s="1">
        <v>74186388.116557002</v>
      </c>
    </row>
    <row r="84" spans="1:3" x14ac:dyDescent="0.25">
      <c r="A84" s="2">
        <v>0</v>
      </c>
      <c r="B84" s="1" t="s">
        <v>64</v>
      </c>
      <c r="C84" s="1">
        <v>12060026.6666659</v>
      </c>
    </row>
    <row r="85" spans="1:3" x14ac:dyDescent="0.25">
      <c r="A85" s="2">
        <v>1</v>
      </c>
      <c r="B85" s="1" t="s">
        <v>14</v>
      </c>
      <c r="C85" s="1">
        <v>2694066.30661606</v>
      </c>
    </row>
    <row r="86" spans="1:3" x14ac:dyDescent="0.25">
      <c r="A86" s="2">
        <v>3</v>
      </c>
      <c r="B86" s="1" t="s">
        <v>65</v>
      </c>
      <c r="C86" s="1">
        <v>306338.96207534499</v>
      </c>
    </row>
    <row r="102" spans="1:3" x14ac:dyDescent="0.25">
      <c r="B102" s="2" t="s">
        <v>25</v>
      </c>
      <c r="C102" s="2" t="s">
        <v>23</v>
      </c>
    </row>
    <row r="103" spans="1:3" x14ac:dyDescent="0.25">
      <c r="A103" s="2">
        <v>4</v>
      </c>
      <c r="B103" s="1" t="s">
        <v>26</v>
      </c>
      <c r="C103" s="1">
        <v>65.633721566218696</v>
      </c>
    </row>
    <row r="104" spans="1:3" x14ac:dyDescent="0.25">
      <c r="A104" s="2">
        <v>6</v>
      </c>
      <c r="B104" s="1" t="s">
        <v>78</v>
      </c>
      <c r="C104" s="1">
        <v>68.487289635102002</v>
      </c>
    </row>
    <row r="105" spans="1:3" x14ac:dyDescent="0.25">
      <c r="A105" s="2">
        <v>7</v>
      </c>
      <c r="B105" s="1" t="s">
        <v>142</v>
      </c>
      <c r="C105" s="1">
        <v>112.972520730057</v>
      </c>
    </row>
    <row r="106" spans="1:3" x14ac:dyDescent="0.25">
      <c r="A106" s="2">
        <v>0</v>
      </c>
      <c r="B106" s="1" t="s">
        <v>143</v>
      </c>
      <c r="C106" s="1">
        <v>105.666092034941</v>
      </c>
    </row>
    <row r="107" spans="1:3" x14ac:dyDescent="0.25">
      <c r="A107" s="2">
        <v>2</v>
      </c>
      <c r="B107" s="1" t="s">
        <v>13</v>
      </c>
      <c r="C107" s="1">
        <v>194424</v>
      </c>
    </row>
    <row r="108" spans="1:3" x14ac:dyDescent="0.25">
      <c r="A108" s="2">
        <v>3</v>
      </c>
      <c r="B108" s="1" t="s">
        <v>79</v>
      </c>
      <c r="C108" s="1">
        <v>43307</v>
      </c>
    </row>
    <row r="109" spans="1:3" x14ac:dyDescent="0.25">
      <c r="A109" s="2">
        <v>1</v>
      </c>
      <c r="B109" s="1" t="s">
        <v>144</v>
      </c>
      <c r="C109" s="1">
        <v>328764</v>
      </c>
    </row>
    <row r="110" spans="1:3" x14ac:dyDescent="0.25">
      <c r="A110" s="2">
        <v>5</v>
      </c>
      <c r="B110" s="1" t="s">
        <v>145</v>
      </c>
      <c r="C110" s="1">
        <v>1547288</v>
      </c>
    </row>
    <row r="122" spans="1:5" x14ac:dyDescent="0.25">
      <c r="B122" s="2" t="s">
        <v>27</v>
      </c>
      <c r="C122" s="2" t="s">
        <v>28</v>
      </c>
      <c r="D122" s="2" t="s">
        <v>29</v>
      </c>
      <c r="E122" s="2" t="s">
        <v>30</v>
      </c>
    </row>
    <row r="123" spans="1:5" x14ac:dyDescent="0.25">
      <c r="A123" s="2" t="s">
        <v>31</v>
      </c>
      <c r="B123" s="1">
        <v>39375.842856438197</v>
      </c>
      <c r="C123" s="1">
        <v>2014.59406103278</v>
      </c>
      <c r="D123" s="1">
        <v>0</v>
      </c>
      <c r="E123" s="1">
        <v>5795.4263558934999</v>
      </c>
    </row>
    <row r="124" spans="1:5" x14ac:dyDescent="0.25">
      <c r="A124" s="2" t="s">
        <v>32</v>
      </c>
      <c r="B124" s="1">
        <v>1204.0645679856</v>
      </c>
      <c r="C124" s="1">
        <v>3.0358855062664101</v>
      </c>
      <c r="D124" s="1">
        <v>0</v>
      </c>
      <c r="E124" s="1">
        <v>8.5398656430904705</v>
      </c>
    </row>
    <row r="125" spans="1:5" x14ac:dyDescent="0.25">
      <c r="A125" s="2" t="s">
        <v>33</v>
      </c>
      <c r="B125" s="1">
        <v>37.442725832329899</v>
      </c>
      <c r="C125" s="1">
        <v>0.53135395117074902</v>
      </c>
      <c r="D125" s="1">
        <v>0</v>
      </c>
      <c r="E125" s="1">
        <v>1.4125298023905499</v>
      </c>
    </row>
    <row r="126" spans="1:5" x14ac:dyDescent="0.25">
      <c r="A126" s="2" t="s">
        <v>34</v>
      </c>
      <c r="B126" s="1">
        <v>1.06814358646045</v>
      </c>
      <c r="C126" s="1">
        <v>4.95182342214446E-2</v>
      </c>
      <c r="D126" s="1">
        <v>0</v>
      </c>
      <c r="E126" s="1">
        <v>0.13777847108940899</v>
      </c>
    </row>
    <row r="127" spans="1:5" x14ac:dyDescent="0.25">
      <c r="A127" s="2" t="s">
        <v>35</v>
      </c>
      <c r="B127" s="1">
        <v>48.093535241457801</v>
      </c>
      <c r="C127" s="1">
        <v>0.25616984570986301</v>
      </c>
      <c r="D127" s="1">
        <v>0</v>
      </c>
      <c r="E127" s="1">
        <v>0.75116131912963502</v>
      </c>
    </row>
    <row r="128" spans="1:5" x14ac:dyDescent="0.25">
      <c r="A128" s="2" t="s">
        <v>31</v>
      </c>
      <c r="B128" s="1">
        <v>2179059.14367529</v>
      </c>
      <c r="C128" s="1">
        <v>111487.63533755401</v>
      </c>
      <c r="D128" s="1">
        <v>0</v>
      </c>
      <c r="E128" s="1">
        <v>320718.89453514601</v>
      </c>
    </row>
    <row r="129" spans="1:5" x14ac:dyDescent="0.25">
      <c r="A129" s="2" t="s">
        <v>32</v>
      </c>
      <c r="B129" s="1">
        <v>457544.53583452897</v>
      </c>
      <c r="C129" s="1">
        <v>1153.63649238124</v>
      </c>
      <c r="D129" s="1">
        <v>0</v>
      </c>
      <c r="E129" s="1">
        <v>3245.1489443743799</v>
      </c>
    </row>
    <row r="130" spans="1:5" x14ac:dyDescent="0.25">
      <c r="A130" s="2" t="s">
        <v>33</v>
      </c>
      <c r="B130" s="1">
        <v>366938.71315683302</v>
      </c>
      <c r="C130" s="1">
        <v>5207.2687214733496</v>
      </c>
      <c r="D130" s="1">
        <v>0</v>
      </c>
      <c r="E130" s="1">
        <v>13842.7920634274</v>
      </c>
    </row>
    <row r="131" spans="1:5" x14ac:dyDescent="0.25">
      <c r="A131" s="2" t="s">
        <v>35</v>
      </c>
      <c r="B131" s="1">
        <v>375129.57488337101</v>
      </c>
      <c r="C131" s="1">
        <v>1998.12479653693</v>
      </c>
      <c r="D131" s="1">
        <v>0</v>
      </c>
      <c r="E131" s="1">
        <v>5859.0582892111497</v>
      </c>
    </row>
    <row r="132" spans="1:5" x14ac:dyDescent="0.25">
      <c r="A132" s="2" t="s">
        <v>34</v>
      </c>
      <c r="B132" s="1">
        <v>6942.9333119929197</v>
      </c>
      <c r="C132" s="1">
        <v>321.86852243939001</v>
      </c>
      <c r="D132" s="1">
        <v>0</v>
      </c>
      <c r="E132" s="1">
        <v>895.560062081159</v>
      </c>
    </row>
    <row r="142" spans="1:5" x14ac:dyDescent="0.25">
      <c r="B142" s="2" t="s">
        <v>36</v>
      </c>
      <c r="C142" s="2" t="s">
        <v>37</v>
      </c>
    </row>
    <row r="143" spans="1:5" x14ac:dyDescent="0.25">
      <c r="A143" s="2">
        <v>0</v>
      </c>
      <c r="B143" s="1">
        <v>92081343.660383493</v>
      </c>
      <c r="C143" s="1">
        <v>4915924.0239069201</v>
      </c>
    </row>
    <row r="162" spans="1:12" x14ac:dyDescent="0.25">
      <c r="B162" s="2" t="s">
        <v>38</v>
      </c>
      <c r="C162" s="2" t="s">
        <v>39</v>
      </c>
      <c r="D162" s="2" t="s">
        <v>40</v>
      </c>
      <c r="E162" s="2" t="s">
        <v>41</v>
      </c>
      <c r="F162" s="2" t="s">
        <v>42</v>
      </c>
      <c r="G162" s="2" t="s">
        <v>43</v>
      </c>
      <c r="H162" s="2" t="s">
        <v>44</v>
      </c>
      <c r="I162" s="2" t="s">
        <v>45</v>
      </c>
      <c r="J162" s="2" t="s">
        <v>46</v>
      </c>
      <c r="K162" s="2" t="s">
        <v>47</v>
      </c>
      <c r="L162" s="2" t="s">
        <v>48</v>
      </c>
    </row>
    <row r="163" spans="1:12" x14ac:dyDescent="0.25">
      <c r="A163" s="2">
        <v>0</v>
      </c>
      <c r="B163" s="1">
        <v>1</v>
      </c>
      <c r="C163" s="1">
        <v>1.4570000000000001</v>
      </c>
      <c r="D163" s="1">
        <v>0.70411699999999999</v>
      </c>
      <c r="E163" s="1">
        <v>1.2999999999999999E-2</v>
      </c>
      <c r="F163" s="1">
        <v>40633626.546137303</v>
      </c>
      <c r="G163" s="1">
        <v>59.203193877722001</v>
      </c>
      <c r="H163" s="1">
        <v>28.610827222786501</v>
      </c>
      <c r="I163" s="1">
        <v>0.52823714509978503</v>
      </c>
      <c r="J163" s="1">
        <v>153928.304082077</v>
      </c>
      <c r="K163" s="1">
        <v>2160117455320.3799</v>
      </c>
      <c r="L163" s="1">
        <v>1320592862749.46</v>
      </c>
    </row>
    <row r="164" spans="1:12" x14ac:dyDescent="0.25">
      <c r="A164" s="2">
        <v>1</v>
      </c>
      <c r="B164" s="1">
        <v>3</v>
      </c>
      <c r="C164" s="1">
        <v>1.4570000000000001</v>
      </c>
      <c r="D164" s="1">
        <v>0.82551600000000003</v>
      </c>
      <c r="E164" s="1">
        <v>1.5299999999999999E-2</v>
      </c>
      <c r="F164" s="1">
        <v>5449179.1220481303</v>
      </c>
      <c r="G164" s="1">
        <v>7.9394539808241298</v>
      </c>
      <c r="H164" s="1">
        <v>4.4983845521166899</v>
      </c>
      <c r="I164" s="1">
        <v>8.3372440567336406E-2</v>
      </c>
      <c r="J164" s="1">
        <v>20642.5803501427</v>
      </c>
      <c r="K164" s="1">
        <v>339628033684.81</v>
      </c>
      <c r="L164" s="1">
        <v>208431101418.341</v>
      </c>
    </row>
    <row r="165" spans="1:12" x14ac:dyDescent="0.25">
      <c r="A165" s="2">
        <v>2</v>
      </c>
      <c r="B165" s="1">
        <v>5</v>
      </c>
      <c r="C165" s="1">
        <v>1.4570000000000001</v>
      </c>
      <c r="D165" s="1">
        <v>0.82551600000000003</v>
      </c>
      <c r="E165" s="1">
        <v>1.5299999999999999E-2</v>
      </c>
      <c r="F165" s="1">
        <v>25090675.363492399</v>
      </c>
      <c r="G165" s="1">
        <v>36.557114004608401</v>
      </c>
      <c r="H165" s="1">
        <v>20.712753963368801</v>
      </c>
      <c r="I165" s="1">
        <v>0.38388733306143402</v>
      </c>
      <c r="J165" s="1">
        <v>95048.496411981905</v>
      </c>
      <c r="K165" s="1">
        <v>1563812924234.3401</v>
      </c>
      <c r="L165" s="1">
        <v>959718332653.58398</v>
      </c>
    </row>
    <row r="166" spans="1:12" x14ac:dyDescent="0.25">
      <c r="A166" s="2">
        <v>3</v>
      </c>
      <c r="B166" s="1">
        <v>7</v>
      </c>
      <c r="C166" s="1">
        <v>1.4570000000000001</v>
      </c>
      <c r="D166" s="1">
        <v>0.82551600000000003</v>
      </c>
      <c r="E166" s="1">
        <v>1.5299999999999999E-2</v>
      </c>
      <c r="F166" s="1">
        <v>8229853.0727183605</v>
      </c>
      <c r="G166" s="1">
        <v>11.990895926950699</v>
      </c>
      <c r="H166" s="1">
        <v>6.7938753891781696</v>
      </c>
      <c r="I166" s="1">
        <v>0.125916752012591</v>
      </c>
      <c r="J166" s="1">
        <v>31176.329410071699</v>
      </c>
      <c r="K166" s="1">
        <v>512937591882.95203</v>
      </c>
      <c r="L166" s="1">
        <v>314791880031.47699</v>
      </c>
    </row>
    <row r="182" spans="1:7" x14ac:dyDescent="0.25">
      <c r="B182" s="1" t="s">
        <v>168</v>
      </c>
      <c r="C182" s="1" t="s">
        <v>169</v>
      </c>
      <c r="D182" s="1" t="s">
        <v>170</v>
      </c>
      <c r="E182" s="1" t="s">
        <v>171</v>
      </c>
      <c r="F182" s="1" t="s">
        <v>172</v>
      </c>
      <c r="G182" s="1" t="s">
        <v>173</v>
      </c>
    </row>
    <row r="183" spans="1:7" x14ac:dyDescent="0.25">
      <c r="A183" s="1">
        <v>0</v>
      </c>
      <c r="B183" s="1">
        <v>978235.26171700004</v>
      </c>
      <c r="C183" s="1">
        <v>63885.935852000002</v>
      </c>
      <c r="D183" s="1">
        <v>2622889.953125</v>
      </c>
      <c r="E183" s="1">
        <v>795039.72656500002</v>
      </c>
      <c r="F183" s="1">
        <v>144472.95410100001</v>
      </c>
      <c r="G183" s="1">
        <v>5477134.34375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Compare Total</vt:lpstr>
      <vt:lpstr>Comparison Charts</vt:lpstr>
      <vt:lpstr>Baseline Metrics</vt:lpstr>
      <vt:lpstr>Scenario Metrics</vt:lpstr>
      <vt:lpstr>BaselineScenario</vt:lpstr>
      <vt:lpstr>Difference</vt:lpstr>
      <vt:lpstr>HeatResults</vt:lpstr>
      <vt:lpstr>RawBaseline</vt:lpstr>
      <vt:lpstr>RawScenario</vt:lpstr>
      <vt:lpstr>Baseline Charts</vt:lpstr>
      <vt:lpstr>Scenario Charts</vt:lpstr>
    </vt:vector>
  </TitlesOfParts>
  <Company>Puget Sound Regional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Childress</dc:creator>
  <cp:lastModifiedBy>Suzanne Childress</cp:lastModifiedBy>
  <dcterms:created xsi:type="dcterms:W3CDTF">2015-08-28T21:05:35Z</dcterms:created>
  <dcterms:modified xsi:type="dcterms:W3CDTF">2017-03-09T16:53:51Z</dcterms:modified>
</cp:coreProperties>
</file>