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iCost" sheetId="1" r:id="rId1"/>
  </sheets>
  <definedNames>
    <definedName name="BoardQty">KiCost!$I$1</definedName>
    <definedName name="digikey_part_data">KiCost!$J$5:$O$165</definedName>
    <definedName name="global_part_data">KiCost!$A$5:$I$165</definedName>
    <definedName name="mouser_part_data">KiCost!$P$5:$U$165</definedName>
    <definedName name="newark_part_data">KiCost!$V$5:$AA$165</definedName>
    <definedName name="TotalCost">KiCost!$I$2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Manufacturer number for each part.</t>
        </r>
      </text>
    </comment>
    <comment ref="G6" authorId="0">
      <text>
        <r>
          <rPr>
            <sz val="8"/>
            <color indexed="81"/>
            <rFont val="Tahoma"/>
            <family val="2"/>
          </rPr>
          <t>Total number of each part needed to assemble the board.</t>
        </r>
      </text>
    </comment>
    <comment ref="H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J6" authorId="0">
      <text>
        <r>
          <rPr>
            <sz val="8"/>
            <color indexed="81"/>
            <rFont val="Tahoma"/>
            <family val="2"/>
          </rPr>
          <t>Available quantity of each part at the distributor.</t>
        </r>
      </text>
    </comment>
    <comment ref="K6" authorId="0">
      <text>
        <r>
          <rPr>
            <sz val="8"/>
            <color indexed="81"/>
            <rFont val="Tahoma"/>
            <family val="2"/>
          </rPr>
          <t>Purchase quantity of each part from this distributor.</t>
        </r>
      </text>
    </comment>
    <comment ref="L6" authorId="0">
      <text>
        <r>
          <rPr>
            <sz val="8"/>
            <color indexed="81"/>
            <rFont val="Tahoma"/>
            <family val="2"/>
          </rPr>
          <t>Unit price of each part from this distributor.</t>
        </r>
      </text>
    </comment>
    <comment ref="M6" authorId="0">
      <text>
        <r>
          <rPr>
            <sz val="8"/>
            <color indexed="81"/>
            <rFont val="Tahoma"/>
            <family val="2"/>
          </rPr>
          <t>(Unit Price) x (Purchase Qty) of each part from this distributor.</t>
        </r>
      </text>
    </comment>
    <comment ref="N6" authorId="0">
      <text>
        <r>
          <rPr>
            <sz val="8"/>
            <color indexed="81"/>
            <rFont val="Tahoma"/>
            <family val="2"/>
          </rPr>
          <t>Distributor-assigned part number for each part.</t>
        </r>
      </text>
    </comment>
    <comment ref="O6" authorId="0">
      <text>
        <r>
          <rPr>
            <sz val="8"/>
            <color indexed="81"/>
            <rFont val="Tahoma"/>
            <family val="2"/>
          </rPr>
          <t>Link to distributor webpage for each part.</t>
        </r>
      </text>
    </comment>
    <comment ref="P6" authorId="0">
      <text>
        <r>
          <rPr>
            <sz val="8"/>
            <color indexed="81"/>
            <rFont val="Tahoma"/>
            <family val="2"/>
          </rPr>
          <t>Available quantity of each part at the distributor.</t>
        </r>
      </text>
    </comment>
    <comment ref="Q6" authorId="0">
      <text>
        <r>
          <rPr>
            <sz val="8"/>
            <color indexed="81"/>
            <rFont val="Tahoma"/>
            <family val="2"/>
          </rPr>
          <t>Purchase quantity of each part from this distributor.</t>
        </r>
      </text>
    </comment>
    <comment ref="R6" authorId="0">
      <text>
        <r>
          <rPr>
            <sz val="8"/>
            <color indexed="81"/>
            <rFont val="Tahoma"/>
            <family val="2"/>
          </rPr>
          <t>Unit price of each part from this distributor.</t>
        </r>
      </text>
    </comment>
    <comment ref="S6" authorId="0">
      <text>
        <r>
          <rPr>
            <sz val="8"/>
            <color indexed="81"/>
            <rFont val="Tahoma"/>
            <family val="2"/>
          </rPr>
          <t>(Unit Price) x (Purchase Qty) of each part from this distributor.</t>
        </r>
      </text>
    </comment>
    <comment ref="T6" authorId="0">
      <text>
        <r>
          <rPr>
            <sz val="8"/>
            <color indexed="81"/>
            <rFont val="Tahoma"/>
            <family val="2"/>
          </rPr>
          <t>Distributor-assigned part number for each part.</t>
        </r>
      </text>
    </comment>
    <comment ref="U6" authorId="0">
      <text>
        <r>
          <rPr>
            <sz val="8"/>
            <color indexed="81"/>
            <rFont val="Tahoma"/>
            <family val="2"/>
          </rPr>
          <t>Link to distributor webpage for each part.</t>
        </r>
      </text>
    </comment>
    <comment ref="V6" authorId="0">
      <text>
        <r>
          <rPr>
            <sz val="8"/>
            <color indexed="81"/>
            <rFont val="Tahoma"/>
            <family val="2"/>
          </rPr>
          <t>Available quantity of each part at the distributor.</t>
        </r>
      </text>
    </comment>
    <comment ref="W6" authorId="0">
      <text>
        <r>
          <rPr>
            <sz val="8"/>
            <color indexed="81"/>
            <rFont val="Tahoma"/>
            <family val="2"/>
          </rPr>
          <t>Purchase quantity of each part from this distributor.</t>
        </r>
      </text>
    </comment>
    <comment ref="X6" authorId="0">
      <text>
        <r>
          <rPr>
            <sz val="8"/>
            <color indexed="81"/>
            <rFont val="Tahoma"/>
            <family val="2"/>
          </rPr>
          <t>Unit price of each part from this distributor.</t>
        </r>
      </text>
    </comment>
    <comment ref="Y6" authorId="0">
      <text>
        <r>
          <rPr>
            <sz val="8"/>
            <color indexed="81"/>
            <rFont val="Tahoma"/>
            <family val="2"/>
          </rPr>
          <t>(Unit Price) x (Purchase Qty) of each part from this distributor.</t>
        </r>
      </text>
    </comment>
    <comment ref="Z6" authorId="0">
      <text>
        <r>
          <rPr>
            <sz val="8"/>
            <color indexed="81"/>
            <rFont val="Tahoma"/>
            <family val="2"/>
          </rPr>
          <t>Distributor-assigned part number for each part.</t>
        </r>
      </text>
    </comment>
    <comment ref="AA6" authorId="0">
      <text>
        <r>
          <rPr>
            <sz val="8"/>
            <color indexed="81"/>
            <rFont val="Tahoma"/>
            <family val="2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<sst xmlns="http://schemas.openxmlformats.org/spreadsheetml/2006/main" count="1168" uniqueCount="646">
  <si>
    <t>Global Part Info</t>
  </si>
  <si>
    <t>Manf#</t>
  </si>
  <si>
    <t>Ext$</t>
  </si>
  <si>
    <t>Unit$</t>
  </si>
  <si>
    <t>Manf</t>
  </si>
  <si>
    <t>Footprint</t>
  </si>
  <si>
    <t>Refs</t>
  </si>
  <si>
    <t>Qty</t>
  </si>
  <si>
    <t>Value</t>
  </si>
  <si>
    <t>Desc</t>
  </si>
  <si>
    <t>R73-R79,R114</t>
  </si>
  <si>
    <t>RC0603JR-074K7L</t>
  </si>
  <si>
    <t>Resistors_SMD:R_0603</t>
  </si>
  <si>
    <t>4.7k</t>
  </si>
  <si>
    <t>U6</t>
  </si>
  <si>
    <t xml:space="preserve">ST3232ECTR </t>
  </si>
  <si>
    <t>footprints:TSSOP16</t>
  </si>
  <si>
    <t>ST3232E</t>
  </si>
  <si>
    <t>U24</t>
  </si>
  <si>
    <t xml:space="preserve">23A1024-I/SN </t>
  </si>
  <si>
    <t>footprints:-SOIC8</t>
  </si>
  <si>
    <t>23A1024</t>
  </si>
  <si>
    <t>U19</t>
  </si>
  <si>
    <t>93C46B-I/SN</t>
  </si>
  <si>
    <t>93C46</t>
  </si>
  <si>
    <t>U11</t>
  </si>
  <si>
    <t>MCP6024-E/ST</t>
  </si>
  <si>
    <t>footprints:TSSOP14</t>
  </si>
  <si>
    <t>MCP6024</t>
  </si>
  <si>
    <t>C17</t>
  </si>
  <si>
    <t xml:space="preserve">UCW1C331MNL1GS </t>
  </si>
  <si>
    <t>footprints:c_elec_6.3x7.7</t>
  </si>
  <si>
    <t>330uF</t>
  </si>
  <si>
    <t>U2</t>
  </si>
  <si>
    <t>502AAA-ADAG</t>
  </si>
  <si>
    <t>footprints:4SMD</t>
  </si>
  <si>
    <t>SI502</t>
  </si>
  <si>
    <t>R40</t>
  </si>
  <si>
    <t xml:space="preserve">CR2010-JW-101ELF </t>
  </si>
  <si>
    <t>Resistors_SMD:R_2010</t>
  </si>
  <si>
    <t>100 / 1/2W</t>
  </si>
  <si>
    <t>C31,C68,C78</t>
  </si>
  <si>
    <t>T491A106K006AT7280</t>
  </si>
  <si>
    <t>footprints:c_1206_tantalio</t>
  </si>
  <si>
    <t>10uF</t>
  </si>
  <si>
    <t>C18</t>
  </si>
  <si>
    <t>T491A106K006AT</t>
  </si>
  <si>
    <t>R64,R143,R146,R153,R154,R156,R161,R163</t>
  </si>
  <si>
    <t>311-2.2KGRCT-ND</t>
  </si>
  <si>
    <t>2.2k</t>
  </si>
  <si>
    <t>R99,R100</t>
  </si>
  <si>
    <t xml:space="preserve">RC0603JR-072K2L </t>
  </si>
  <si>
    <t>U4</t>
  </si>
  <si>
    <t>NCP1117ST33T3G</t>
  </si>
  <si>
    <t>footprints:SOT223</t>
  </si>
  <si>
    <t>FB7,FB14</t>
  </si>
  <si>
    <t>BLM18KG221SN1D</t>
  </si>
  <si>
    <t>footprints:SM0603</t>
  </si>
  <si>
    <t>BLM18KG221SN1</t>
  </si>
  <si>
    <t>FB11,FB15</t>
  </si>
  <si>
    <t xml:space="preserve">BLM18KG221SN1D </t>
  </si>
  <si>
    <t>Q2-Q5</t>
  </si>
  <si>
    <t xml:space="preserve"> FQT13N06LTF</t>
  </si>
  <si>
    <t>FQT13N06L</t>
  </si>
  <si>
    <t>R80</t>
  </si>
  <si>
    <t>ERA-3AEB333V</t>
  </si>
  <si>
    <t>33k</t>
  </si>
  <si>
    <t>C7,C38,C40,C44,C92</t>
  </si>
  <si>
    <t>C0603C471K5RACTU</t>
  </si>
  <si>
    <t>Capacitors_SMD:C_0603</t>
  </si>
  <si>
    <t>470pF</t>
  </si>
  <si>
    <t>C95,C96</t>
  </si>
  <si>
    <t>CL10B272KB8SFNC</t>
  </si>
  <si>
    <t>2700pf</t>
  </si>
  <si>
    <t>JP7,JP9,JP11,JP13</t>
  </si>
  <si>
    <t>footprints:GS2</t>
  </si>
  <si>
    <t>JUMPER</t>
  </si>
  <si>
    <t>L1</t>
  </si>
  <si>
    <t>MH1608-221Y</t>
  </si>
  <si>
    <t>BK1608HS220-T</t>
  </si>
  <si>
    <t>C5,C9</t>
  </si>
  <si>
    <t>C0603C105K9PACTU</t>
  </si>
  <si>
    <t>footprints:c_0603</t>
  </si>
  <si>
    <t>1uF</t>
  </si>
  <si>
    <t>R10-R12</t>
  </si>
  <si>
    <t>RC0603JR-0722RL</t>
  </si>
  <si>
    <t>22</t>
  </si>
  <si>
    <t>TH10</t>
  </si>
  <si>
    <t>MF-USMF005-2</t>
  </si>
  <si>
    <t>footprints:MF-USMF</t>
  </si>
  <si>
    <t>J3</t>
  </si>
  <si>
    <t xml:space="preserve">182-009-113R561 </t>
  </si>
  <si>
    <t>footprints:K22X-E9P-NJ</t>
  </si>
  <si>
    <t>DB9</t>
  </si>
  <si>
    <t>R51,R54,R57,R60</t>
  </si>
  <si>
    <t>RC0603JR-07100RL</t>
  </si>
  <si>
    <t>100</t>
  </si>
  <si>
    <t>R32,R39</t>
  </si>
  <si>
    <t>RC0603JR-07390R</t>
  </si>
  <si>
    <t>390</t>
  </si>
  <si>
    <t>R84,R96,R145</t>
  </si>
  <si>
    <t xml:space="preserve">RC0603JR-07270RL </t>
  </si>
  <si>
    <t>270</t>
  </si>
  <si>
    <t>R17,R18</t>
  </si>
  <si>
    <t>RC0603JR-07270RL</t>
  </si>
  <si>
    <t>F4-F6</t>
  </si>
  <si>
    <t>Fiducials:Fiducial_1mm_Dia_2.54mm_Outer_CopperBottom</t>
  </si>
  <si>
    <t>FIDUCIAL</t>
  </si>
  <si>
    <t>R33,R38</t>
  </si>
  <si>
    <t>RC0603JR-07100KL</t>
  </si>
  <si>
    <t>100K</t>
  </si>
  <si>
    <t>X1</t>
  </si>
  <si>
    <t xml:space="preserve">FA-238V 12.0000MB-W3 </t>
  </si>
  <si>
    <t>12MHz</t>
  </si>
  <si>
    <t>R23</t>
  </si>
  <si>
    <t>RC0603JR-070RL</t>
  </si>
  <si>
    <t>0</t>
  </si>
  <si>
    <t>C80</t>
  </si>
  <si>
    <t>C0603C335M9PACTU</t>
  </si>
  <si>
    <t>3.3uF</t>
  </si>
  <si>
    <t>C16</t>
  </si>
  <si>
    <t>UCL1V471MNL1GS</t>
  </si>
  <si>
    <t>footprints:c_elec_13.7x13x13.5</t>
  </si>
  <si>
    <t>470uF</t>
  </si>
  <si>
    <t>P14</t>
  </si>
  <si>
    <t>footprints:PIN_ARRAY_3X2</t>
  </si>
  <si>
    <t>SPI</t>
  </si>
  <si>
    <t>D4</t>
  </si>
  <si>
    <t>QTLP600C7TR</t>
  </si>
  <si>
    <t>footprints:LED-0603</t>
  </si>
  <si>
    <t>LED red</t>
  </si>
  <si>
    <t>C97</t>
  </si>
  <si>
    <t xml:space="preserve">CL10B562KB8SFNC </t>
  </si>
  <si>
    <t>5600pf</t>
  </si>
  <si>
    <t>R50,R52,R56,R58,R59,R63,R82,R121,R122,R125-R127,R130</t>
  </si>
  <si>
    <t>RG1608P-153-B-T5</t>
  </si>
  <si>
    <t>15k</t>
  </si>
  <si>
    <t>C82</t>
  </si>
  <si>
    <t xml:space="preserve">C0603C103K5RACTU </t>
  </si>
  <si>
    <t>10nf</t>
  </si>
  <si>
    <t>R83</t>
  </si>
  <si>
    <t xml:space="preserve">ERA-3AEB2491V </t>
  </si>
  <si>
    <t>24.9</t>
  </si>
  <si>
    <t>P6</t>
  </si>
  <si>
    <t>footprints:pin_array_4x2</t>
  </si>
  <si>
    <t>CONN_4X2</t>
  </si>
  <si>
    <t>R98</t>
  </si>
  <si>
    <t xml:space="preserve">RC0603JR-071KL </t>
  </si>
  <si>
    <t>1k</t>
  </si>
  <si>
    <t>R22,R110</t>
  </si>
  <si>
    <t>RC0603JR-071KL</t>
  </si>
  <si>
    <t>D3</t>
  </si>
  <si>
    <t xml:space="preserve">B540C-13-F </t>
  </si>
  <si>
    <t>footprints:DO-214AB(SMC)</t>
  </si>
  <si>
    <t>B540C-13-F</t>
  </si>
  <si>
    <t>C84</t>
  </si>
  <si>
    <t>GRM033R71E331KA01D</t>
  </si>
  <si>
    <t>3300pf</t>
  </si>
  <si>
    <t>R107</t>
  </si>
  <si>
    <t xml:space="preserve">ERJ-8GEYJ222V </t>
  </si>
  <si>
    <t>Resistors_SMD:R_1206</t>
  </si>
  <si>
    <t>R109</t>
  </si>
  <si>
    <t>RC0603JR-0710KL</t>
  </si>
  <si>
    <t>10K</t>
  </si>
  <si>
    <t>R90,R101-R103</t>
  </si>
  <si>
    <t xml:space="preserve">RC0603JR-0710KL </t>
  </si>
  <si>
    <t>U5</t>
  </si>
  <si>
    <t>MAX3072EESA+T</t>
  </si>
  <si>
    <t>SMD_Packages:SOIC-8-N</t>
  </si>
  <si>
    <t>MAX3072</t>
  </si>
  <si>
    <t>SW1</t>
  </si>
  <si>
    <t>FSM2JSMAATR</t>
  </si>
  <si>
    <t>footprints:PUSH_SWITCH</t>
  </si>
  <si>
    <t>SW_PUSH_4</t>
  </si>
  <si>
    <t>C8,C60</t>
  </si>
  <si>
    <t>R150</t>
  </si>
  <si>
    <t xml:space="preserve">ERJ-3EKF8451V </t>
  </si>
  <si>
    <t>8.45k</t>
  </si>
  <si>
    <t>D25</t>
  </si>
  <si>
    <t>LTST-C191KGKT</t>
  </si>
  <si>
    <t>LEDs:LED_0603</t>
  </si>
  <si>
    <t>LED green</t>
  </si>
  <si>
    <t>D6-D8</t>
  </si>
  <si>
    <t>P6SMB12CAT3G</t>
  </si>
  <si>
    <t>footprints:DO214AA-1-2</t>
  </si>
  <si>
    <t>PSD12C</t>
  </si>
  <si>
    <t>R105</t>
  </si>
  <si>
    <t>2.49k</t>
  </si>
  <si>
    <t>U14</t>
  </si>
  <si>
    <t xml:space="preserve">TXB0108PWR </t>
  </si>
  <si>
    <t>footprints:tssop-20</t>
  </si>
  <si>
    <t>TXB0108</t>
  </si>
  <si>
    <t>C22-C27,C29,C30</t>
  </si>
  <si>
    <t>C0603C104K5RACTU</t>
  </si>
  <si>
    <t>100nF</t>
  </si>
  <si>
    <t>R104</t>
  </si>
  <si>
    <t>2.2K</t>
  </si>
  <si>
    <t>R97</t>
  </si>
  <si>
    <t>RC0603FR-0712K1L</t>
  </si>
  <si>
    <t>12K</t>
  </si>
  <si>
    <t>J5</t>
  </si>
  <si>
    <t>footprints:RJ45_TRANSFO</t>
  </si>
  <si>
    <t>RJ45-TRANSFO</t>
  </si>
  <si>
    <t>ZA14</t>
  </si>
  <si>
    <t xml:space="preserve">MMSZ5V6T1G </t>
  </si>
  <si>
    <t>footprints:SOD123F</t>
  </si>
  <si>
    <t>SMAZ5V6</t>
  </si>
  <si>
    <t>R35</t>
  </si>
  <si>
    <t xml:space="preserve">RC0603JR-07220RL </t>
  </si>
  <si>
    <t>220</t>
  </si>
  <si>
    <t>C36,C42,C91,C93</t>
  </si>
  <si>
    <t>C0603C102K5RACTU</t>
  </si>
  <si>
    <t>1nF</t>
  </si>
  <si>
    <t>R93,R94</t>
  </si>
  <si>
    <t xml:space="preserve">RG1608P-153-B-T5 </t>
  </si>
  <si>
    <t>15K</t>
  </si>
  <si>
    <t>P4</t>
  </si>
  <si>
    <t>footprints:PIN_ARRAY_6X1</t>
  </si>
  <si>
    <t>CONN_6</t>
  </si>
  <si>
    <t>R149</t>
  </si>
  <si>
    <t>RC0603FR-0719K1L</t>
  </si>
  <si>
    <t>19.1k</t>
  </si>
  <si>
    <t>D2</t>
  </si>
  <si>
    <t xml:space="preserve"> MURS360T3G </t>
  </si>
  <si>
    <t>Diodes_SMD:DO-214AB</t>
  </si>
  <si>
    <t>RS3J-E3/57T</t>
  </si>
  <si>
    <t>D1,D5</t>
  </si>
  <si>
    <t xml:space="preserve">PMEG3020EH,115 </t>
  </si>
  <si>
    <t>footprints:SOD323</t>
  </si>
  <si>
    <t>PMEG3020EH</t>
  </si>
  <si>
    <t>U3</t>
  </si>
  <si>
    <t>LM2596SX-5.0/NOPB</t>
  </si>
  <si>
    <t>footprints:TO263-6--D2PACK5-LM2596</t>
  </si>
  <si>
    <t>LM2596-5.0</t>
  </si>
  <si>
    <t>U21</t>
  </si>
  <si>
    <t>MCP6022</t>
  </si>
  <si>
    <t>U25</t>
  </si>
  <si>
    <t>TC25L5I32K7680</t>
  </si>
  <si>
    <t>R1</t>
  </si>
  <si>
    <t>311-1.5KGRCT-ND</t>
  </si>
  <si>
    <t>1k5</t>
  </si>
  <si>
    <t>U8</t>
  </si>
  <si>
    <t xml:space="preserve">PESD1CAN,215 </t>
  </si>
  <si>
    <t>footprints:SOT23</t>
  </si>
  <si>
    <t>PESD1CAN</t>
  </si>
  <si>
    <t>U13</t>
  </si>
  <si>
    <t>24AA025E48T-I/SN</t>
  </si>
  <si>
    <t>24AA025E48</t>
  </si>
  <si>
    <t>R53,R61,R123,R128</t>
  </si>
  <si>
    <t>4.7</t>
  </si>
  <si>
    <t>U20</t>
  </si>
  <si>
    <t>SST26VF064BAT-104I/SM</t>
  </si>
  <si>
    <t>footprints:SO8-sst</t>
  </si>
  <si>
    <t>SST26VF064BA</t>
  </si>
  <si>
    <t>TH6</t>
  </si>
  <si>
    <t>PTS12066V100</t>
  </si>
  <si>
    <t>TH5,TH7</t>
  </si>
  <si>
    <t>MF-USMF110-2</t>
  </si>
  <si>
    <t>JP1-JP6</t>
  </si>
  <si>
    <t>JUMPER-2</t>
  </si>
  <si>
    <t>TH3</t>
  </si>
  <si>
    <t>C100,C102-C104</t>
  </si>
  <si>
    <t>U1</t>
  </si>
  <si>
    <t>LAN8740A-EN</t>
  </si>
  <si>
    <t>footprints:QFN32_Opendous</t>
  </si>
  <si>
    <t>LAN_8740</t>
  </si>
  <si>
    <t>IC1,IC2</t>
  </si>
  <si>
    <t>PS2805C-4-A</t>
  </si>
  <si>
    <t>footprints:-SOP16</t>
  </si>
  <si>
    <t>PS2805-4</t>
  </si>
  <si>
    <t>H1-H4</t>
  </si>
  <si>
    <t>footprints:1pin</t>
  </si>
  <si>
    <t>4mm</t>
  </si>
  <si>
    <t>R2</t>
  </si>
  <si>
    <t>RC0603FR-074K7L</t>
  </si>
  <si>
    <t>4k7 1%</t>
  </si>
  <si>
    <t>R31,R81,R91,R95,R139</t>
  </si>
  <si>
    <t xml:space="preserve">RC0603FR-074K7L </t>
  </si>
  <si>
    <t>J7</t>
  </si>
  <si>
    <t>ZX62-B-5PA(11</t>
  </si>
  <si>
    <t>footprints:USB_microAB_ZX62-AB&amp;B-5PA-11</t>
  </si>
  <si>
    <t>ZX62-AB-5PA</t>
  </si>
  <si>
    <t>J6</t>
  </si>
  <si>
    <t>ZX62-AB-5PA(11)</t>
  </si>
  <si>
    <t>R55,R62,R124,R129</t>
  </si>
  <si>
    <t xml:space="preserve">ERA-3AEB2370V </t>
  </si>
  <si>
    <t>237</t>
  </si>
  <si>
    <t>D47,D49</t>
  </si>
  <si>
    <t xml:space="preserve">QTLP600C7TR </t>
  </si>
  <si>
    <t>LED</t>
  </si>
  <si>
    <t>U7</t>
  </si>
  <si>
    <t xml:space="preserve">SN65HVD230DR </t>
  </si>
  <si>
    <t>VP231</t>
  </si>
  <si>
    <t>U23,U27-U29</t>
  </si>
  <si>
    <t xml:space="preserve">MCP1416T-E/OT </t>
  </si>
  <si>
    <t>footprints:SOT23-5</t>
  </si>
  <si>
    <t>MCP1416</t>
  </si>
  <si>
    <t>U26</t>
  </si>
  <si>
    <t>MCP9700AT-E/TT</t>
  </si>
  <si>
    <t>MCP9700</t>
  </si>
  <si>
    <t>ZA1</t>
  </si>
  <si>
    <t>P6SMB33CA-E3/52</t>
  </si>
  <si>
    <t>P6SMB33CA</t>
  </si>
  <si>
    <t>C21,C28</t>
  </si>
  <si>
    <t>10uF/6V3</t>
  </si>
  <si>
    <t>U12</t>
  </si>
  <si>
    <t>24AA1025T-I/SN</t>
  </si>
  <si>
    <t>24AA1025</t>
  </si>
  <si>
    <t>Q14</t>
  </si>
  <si>
    <t>BC817-40LT3G</t>
  </si>
  <si>
    <t>BC817-40</t>
  </si>
  <si>
    <t>R85</t>
  </si>
  <si>
    <t>10k</t>
  </si>
  <si>
    <t>R48,R49</t>
  </si>
  <si>
    <t>R15,R16,R92</t>
  </si>
  <si>
    <t xml:space="preserve"> RC0603JR-0710KL</t>
  </si>
  <si>
    <t>D9-D12,D46</t>
  </si>
  <si>
    <t xml:space="preserve">BAV199LT1G </t>
  </si>
  <si>
    <t>footprints:SOT23-DIODE</t>
  </si>
  <si>
    <t>BAV199</t>
  </si>
  <si>
    <t>R117-R120</t>
  </si>
  <si>
    <t>R65-R72</t>
  </si>
  <si>
    <t xml:space="preserve"> ERJ-8GEYJ332V</t>
  </si>
  <si>
    <t>3.3k</t>
  </si>
  <si>
    <t>TH4</t>
  </si>
  <si>
    <t>C34</t>
  </si>
  <si>
    <t>C1</t>
  </si>
  <si>
    <t>R34,R36,R37,R41,R47</t>
  </si>
  <si>
    <t>4K7</t>
  </si>
  <si>
    <t>U9</t>
  </si>
  <si>
    <t xml:space="preserve"> PRTR5V0U2X,215</t>
  </si>
  <si>
    <t>footprints:sot143B</t>
  </si>
  <si>
    <t>PRTR5V0U2X</t>
  </si>
  <si>
    <t>TR1,TR2</t>
  </si>
  <si>
    <t>SRF2012-900Y</t>
  </si>
  <si>
    <t>footprints:SRF2012</t>
  </si>
  <si>
    <t>DLW21HN900SQ2</t>
  </si>
  <si>
    <t>R44</t>
  </si>
  <si>
    <t>270R</t>
  </si>
  <si>
    <t>D48</t>
  </si>
  <si>
    <t>footprints:-SOT89</t>
  </si>
  <si>
    <t>U18</t>
  </si>
  <si>
    <t xml:space="preserve">LM358DG </t>
  </si>
  <si>
    <t>LM358</t>
  </si>
  <si>
    <t>R3-R6</t>
  </si>
  <si>
    <t>RC0603FR-0749R9L</t>
  </si>
  <si>
    <t>50</t>
  </si>
  <si>
    <t>J11,J14,J17-J19</t>
  </si>
  <si>
    <t>OSTTC022162</t>
  </si>
  <si>
    <t>footprints:bornier2</t>
  </si>
  <si>
    <t>TB_1X2</t>
  </si>
  <si>
    <t>P1</t>
  </si>
  <si>
    <t>footprints:PIN_ARRAY_6X2</t>
  </si>
  <si>
    <t>CONN_6X2</t>
  </si>
  <si>
    <t>C79,C81</t>
  </si>
  <si>
    <t xml:space="preserve"> 06031A120CAT2A</t>
  </si>
  <si>
    <t>12p</t>
  </si>
  <si>
    <t>Q1</t>
  </si>
  <si>
    <t>PBSS5240XF</t>
  </si>
  <si>
    <t>C10</t>
  </si>
  <si>
    <t>22nF</t>
  </si>
  <si>
    <t>U10</t>
  </si>
  <si>
    <t xml:space="preserve">MIC2025-2YM </t>
  </si>
  <si>
    <t>MIC2025-2YM</t>
  </si>
  <si>
    <t>R19</t>
  </si>
  <si>
    <t xml:space="preserve">RC0603FR-0712K1L </t>
  </si>
  <si>
    <t>12.1k 1%</t>
  </si>
  <si>
    <t>JP8,JP10,JP12,JP14,JP16</t>
  </si>
  <si>
    <t>footprints:GS3</t>
  </si>
  <si>
    <t>JUMPER3</t>
  </si>
  <si>
    <t>U17</t>
  </si>
  <si>
    <t>FT2232HL-REEL</t>
  </si>
  <si>
    <t>footprints:LQFP64-M05</t>
  </si>
  <si>
    <t>FT2232H</t>
  </si>
  <si>
    <t>Q6,Q7,Q11,Q12</t>
  </si>
  <si>
    <t xml:space="preserve">NDS7002A </t>
  </si>
  <si>
    <t>NDS7002A</t>
  </si>
  <si>
    <t>C11-C14</t>
  </si>
  <si>
    <t xml:space="preserve">CBR02C120F3GAC </t>
  </si>
  <si>
    <t>12pF</t>
  </si>
  <si>
    <t>TH1</t>
  </si>
  <si>
    <t>MF-SM300-2</t>
  </si>
  <si>
    <t>footprints:2-SMD-MF-SM030</t>
  </si>
  <si>
    <t>PTS18126V300</t>
  </si>
  <si>
    <t>GS6-GS10</t>
  </si>
  <si>
    <t>GS3</t>
  </si>
  <si>
    <t>R43,R46</t>
  </si>
  <si>
    <t xml:space="preserve">RC0603FR-0759RL </t>
  </si>
  <si>
    <t>60</t>
  </si>
  <si>
    <t>R20,R113</t>
  </si>
  <si>
    <t>RC0603JR-0733RL</t>
  </si>
  <si>
    <t>33</t>
  </si>
  <si>
    <t>R140</t>
  </si>
  <si>
    <t xml:space="preserve">RC0603JR-0733RL </t>
  </si>
  <si>
    <t>FB6,FB20</t>
  </si>
  <si>
    <t>MMZ1608B601CTAH0</t>
  </si>
  <si>
    <t>footprints:SM0603_Resistor</t>
  </si>
  <si>
    <t>MMZ1608B601C</t>
  </si>
  <si>
    <t>FB1,FB21</t>
  </si>
  <si>
    <t>FB2-FB5,FB8,FB9</t>
  </si>
  <si>
    <t xml:space="preserve">MMZ1608B601CTAH0 </t>
  </si>
  <si>
    <t>R21,R138,R144,R147,R155,R157,R160,R162,R164</t>
  </si>
  <si>
    <t>100k</t>
  </si>
  <si>
    <t>R106,R108,R111,R112,R115,R116,R158,R165</t>
  </si>
  <si>
    <t xml:space="preserve">RC0603JR-07100KL </t>
  </si>
  <si>
    <t>U16</t>
  </si>
  <si>
    <t>PIC32MZ2048ECH144-I/PL</t>
  </si>
  <si>
    <t>footprints:LQFP144-M05</t>
  </si>
  <si>
    <t>PIC32MZ2048EC</t>
  </si>
  <si>
    <t>TH9</t>
  </si>
  <si>
    <t xml:space="preserve">MF-MSMF110-2 </t>
  </si>
  <si>
    <t>MF-MSMF110-2</t>
  </si>
  <si>
    <t>R142</t>
  </si>
  <si>
    <t>1K</t>
  </si>
  <si>
    <t>PS1,PS2</t>
  </si>
  <si>
    <t xml:space="preserve">MF-USMF020-2 </t>
  </si>
  <si>
    <t>footprints:MF-MSMF</t>
  </si>
  <si>
    <t>USMF020</t>
  </si>
  <si>
    <t>GS3,GS4</t>
  </si>
  <si>
    <t>GS2</t>
  </si>
  <si>
    <t>C4,C15,C32,C33,C35,C37,C39,C41,C43,C46,C47,C49,C51,C53,C55,C57,C59,C61-C63,C66,C67,C69-C77,C86,C87,C90,C99</t>
  </si>
  <si>
    <t>C2,C3,C6,C19,C20,C45,C83,C89,C94,C101</t>
  </si>
  <si>
    <t xml:space="preserve">C0603C104K5RACTU </t>
  </si>
  <si>
    <t>R131-R137,R159</t>
  </si>
  <si>
    <t>RC0603JR-07330RL</t>
  </si>
  <si>
    <t>330</t>
  </si>
  <si>
    <t>K1-K4</t>
  </si>
  <si>
    <t>1461353-2</t>
  </si>
  <si>
    <t>footprints:1461353-2</t>
  </si>
  <si>
    <t>RELAY_TE_1461353-2</t>
  </si>
  <si>
    <t>R7-R9,R14,R24,R86-R89</t>
  </si>
  <si>
    <t>R13</t>
  </si>
  <si>
    <t xml:space="preserve"> RC0603JR-070RL</t>
  </si>
  <si>
    <t>R148</t>
  </si>
  <si>
    <t>RC0603FR-079K31L</t>
  </si>
  <si>
    <t>9.3k</t>
  </si>
  <si>
    <t>D27,D28,D30,D31</t>
  </si>
  <si>
    <t>LL4148</t>
  </si>
  <si>
    <t>TH8</t>
  </si>
  <si>
    <t xml:space="preserve">MF-MSMF030-2 </t>
  </si>
  <si>
    <t>MF-MSMF030-2</t>
  </si>
  <si>
    <t>FB12,FB13,FB17-FB19</t>
  </si>
  <si>
    <t>BLM18BD470SN1D</t>
  </si>
  <si>
    <t>BLM18BD470SN1</t>
  </si>
  <si>
    <t>F1-F3</t>
  </si>
  <si>
    <t>Fiducials:Fiducial_1mm_Dia_2.54mm_Outer_CopperTop</t>
  </si>
  <si>
    <t>C48,C50,C52,C54,C56,C58,C85,C88,C98</t>
  </si>
  <si>
    <t>10nF</t>
  </si>
  <si>
    <t>L2</t>
  </si>
  <si>
    <t xml:space="preserve">SRN1060-470M </t>
  </si>
  <si>
    <t>footprints:Inductor_10x9.8mm</t>
  </si>
  <si>
    <t>47uH</t>
  </si>
  <si>
    <t>U22</t>
  </si>
  <si>
    <t>ASDMB-24.000MHZ-LC-T</t>
  </si>
  <si>
    <t>J1,J2,J4,J8-J10,J12,J13,J15,J16</t>
  </si>
  <si>
    <t>OSTTC032162</t>
  </si>
  <si>
    <t>footprints:bornier3</t>
  </si>
  <si>
    <t>TB_1X3</t>
  </si>
  <si>
    <t>R141</t>
  </si>
  <si>
    <t>RC0603FR-0712K4L</t>
  </si>
  <si>
    <t>12.4k</t>
  </si>
  <si>
    <t>D23,D24,D34,D35</t>
  </si>
  <si>
    <t>D13-D22,D33,D36</t>
  </si>
  <si>
    <t>ZA2-ZA5</t>
  </si>
  <si>
    <t>P6SMB20CAT3G</t>
  </si>
  <si>
    <t>footprints:DO-214AA(SMB)</t>
  </si>
  <si>
    <t>SMBJ20CA</t>
  </si>
  <si>
    <t>Board Qty:</t>
  </si>
  <si>
    <t>Total Cost:</t>
  </si>
  <si>
    <t>Unit Cost:</t>
  </si>
  <si>
    <t>Digi-Key</t>
  </si>
  <si>
    <t>Doc</t>
  </si>
  <si>
    <t>Avail</t>
  </si>
  <si>
    <t>Purch</t>
  </si>
  <si>
    <t>Cat#</t>
  </si>
  <si>
    <t>Link</t>
  </si>
  <si>
    <t>311-4.7KGRCT-ND</t>
  </si>
  <si>
    <t>497-6538-1-ND</t>
  </si>
  <si>
    <t>93C46B-I/SN-ND</t>
  </si>
  <si>
    <t>MCP6024-E/ST-ND</t>
  </si>
  <si>
    <t>493-9415-1-ND</t>
  </si>
  <si>
    <t>CR2010-JW-101ELFCT-ND</t>
  </si>
  <si>
    <t>399-3683-1-ND</t>
  </si>
  <si>
    <t>NCP1117ST33T3GOSCT-ND</t>
  </si>
  <si>
    <t>490-5255-1-ND</t>
  </si>
  <si>
    <t>FQT13N06LTFCT-ND</t>
  </si>
  <si>
    <t>P33KDBCT-ND</t>
  </si>
  <si>
    <t>399-1075-1-ND</t>
  </si>
  <si>
    <t>1276-2023-1-ND</t>
  </si>
  <si>
    <t>MH1608-221YCT-ND</t>
  </si>
  <si>
    <t>399-7848-1-ND</t>
  </si>
  <si>
    <t>311-22GRCT-ND</t>
  </si>
  <si>
    <t>MF-USMF005-2CT-ND</t>
  </si>
  <si>
    <t>NOR1354-ND</t>
  </si>
  <si>
    <t>311-100GRCT-ND</t>
  </si>
  <si>
    <t>311-390GRCT-ND</t>
  </si>
  <si>
    <t>311-270GRCT-ND</t>
  </si>
  <si>
    <t>311-100KGRCT-ND</t>
  </si>
  <si>
    <t>SER3683CT-ND</t>
  </si>
  <si>
    <t>311-0.0GRCT-ND</t>
  </si>
  <si>
    <t>399-5502-1-ND</t>
  </si>
  <si>
    <t>493-3961-1-ND</t>
  </si>
  <si>
    <t>1080-1400-1-ND</t>
  </si>
  <si>
    <t>1276-2092-1-ND</t>
  </si>
  <si>
    <t>RG16P15.0KBCT-ND</t>
  </si>
  <si>
    <t>399-1091-1-ND</t>
  </si>
  <si>
    <t>P2.49KDBCT-ND</t>
  </si>
  <si>
    <t>311-1.0KGRCT-ND</t>
  </si>
  <si>
    <t>B540C-FDICT-ND</t>
  </si>
  <si>
    <t>490-3178-1-ND</t>
  </si>
  <si>
    <t>P2.2KECT-ND</t>
  </si>
  <si>
    <t>311-10KGRCT-ND</t>
  </si>
  <si>
    <t>MAX3072EESA+TCT-ND</t>
  </si>
  <si>
    <t>450-1792-1-ND</t>
  </si>
  <si>
    <t>P8.45KHCT-ND</t>
  </si>
  <si>
    <t>160-1446-1-ND</t>
  </si>
  <si>
    <t>P6SMB12CAT3GOSCT-ND</t>
  </si>
  <si>
    <t>296-21527-1-ND</t>
  </si>
  <si>
    <t>399-5089-1-ND</t>
  </si>
  <si>
    <t>311-12.1KHRCT-ND</t>
  </si>
  <si>
    <t>MMSZ5V6T1GOSCT-ND</t>
  </si>
  <si>
    <t>311-220GRCT-ND</t>
  </si>
  <si>
    <t>399-1082-1-ND</t>
  </si>
  <si>
    <t>311-19.1KHRCT-ND</t>
  </si>
  <si>
    <t>568-4129-1-ND</t>
  </si>
  <si>
    <t>LM2596SX-5.0/NOPBCT-ND</t>
  </si>
  <si>
    <t>CTX1183CT-ND</t>
  </si>
  <si>
    <t>568-4032-1-ND</t>
  </si>
  <si>
    <t>24AA025E48T-I/SNCT-ND</t>
  </si>
  <si>
    <t>283-3142-1-ND</t>
  </si>
  <si>
    <t>MF-USMF110-2CT-ND</t>
  </si>
  <si>
    <t>LAN8740A-EN-ND</t>
  </si>
  <si>
    <t>PS2805C-4-A-ND</t>
  </si>
  <si>
    <t>311-4.70KHRCT-ND</t>
  </si>
  <si>
    <t>P237DBCT-ND</t>
  </si>
  <si>
    <t>296-11654-1-ND</t>
  </si>
  <si>
    <t>MCP1416T-E/OTCT-ND</t>
  </si>
  <si>
    <t>P6SMB33CA-E3/52GICT-ND</t>
  </si>
  <si>
    <t>24AA1025T-I/SNCT-ND</t>
  </si>
  <si>
    <t>BC817-40LT1GOSCT-ND</t>
  </si>
  <si>
    <t>BAV199LT1GOSCT-ND</t>
  </si>
  <si>
    <t>P3.3KECT-ND</t>
  </si>
  <si>
    <t>568-4140-1-ND</t>
  </si>
  <si>
    <t>LM358DGOS-ND</t>
  </si>
  <si>
    <t>311-49.9HRCT-ND</t>
  </si>
  <si>
    <t>ED2609-ND</t>
  </si>
  <si>
    <t>568-10522-1-ND</t>
  </si>
  <si>
    <t>576-1058-ND</t>
  </si>
  <si>
    <t>768-1024-1-ND</t>
  </si>
  <si>
    <t>NDS7002ACT-ND</t>
  </si>
  <si>
    <t>399-8604-1-ND</t>
  </si>
  <si>
    <t>MF-SM300-2CT-ND</t>
  </si>
  <si>
    <t>311-59.0HRCT-ND</t>
  </si>
  <si>
    <t>311-33GRCT-ND</t>
  </si>
  <si>
    <t>445-2166-1-ND</t>
  </si>
  <si>
    <t>PIC32MZ2048ECH144-I/PL-ND</t>
  </si>
  <si>
    <t>MF-MSMF110-2CT-ND</t>
  </si>
  <si>
    <t>MF-USMF020-2CT-ND</t>
  </si>
  <si>
    <t>311-330GRCT-ND</t>
  </si>
  <si>
    <t>PB1652-ND</t>
  </si>
  <si>
    <t>311-9.31KHRCT-ND</t>
  </si>
  <si>
    <t>LL4148FSCT-ND</t>
  </si>
  <si>
    <t>490-5211-1-ND</t>
  </si>
  <si>
    <t>535-11728-1-ND</t>
  </si>
  <si>
    <t>ED2610-ND</t>
  </si>
  <si>
    <t>311-12.4KHRCT-ND</t>
  </si>
  <si>
    <t>P6SMB20CAT3GOSCT-ND</t>
  </si>
  <si>
    <t>Mouser</t>
  </si>
  <si>
    <t>603-RC0603JR-074K7L</t>
  </si>
  <si>
    <t>647-UCW1C331MNL1GS</t>
  </si>
  <si>
    <t>652-CR2010-JW-101ELF</t>
  </si>
  <si>
    <t>80-T491A106K0067280</t>
  </si>
  <si>
    <t>603-RC0603JR-072K2L</t>
  </si>
  <si>
    <t>81-BLM18KG221SN1D</t>
  </si>
  <si>
    <t>512-FQT13N06LTF</t>
  </si>
  <si>
    <t>667-ERA-3AEB333V</t>
  </si>
  <si>
    <t>603-RC0603JR-0722RL</t>
  </si>
  <si>
    <t>652-MF-USMF005-2</t>
  </si>
  <si>
    <t>636-182-009-113R561</t>
  </si>
  <si>
    <t>603-RC0603JR-07270RL</t>
  </si>
  <si>
    <t>Newark</t>
  </si>
  <si>
    <t>68R0188</t>
  </si>
  <si>
    <t>45W1398</t>
  </si>
  <si>
    <t>12C2023</t>
  </si>
  <si>
    <t>91R1262</t>
  </si>
  <si>
    <t>57K1634</t>
  </si>
  <si>
    <t>98K7303</t>
  </si>
  <si>
    <t>67H7013</t>
  </si>
  <si>
    <t>55R1510</t>
  </si>
  <si>
    <t>31Y1561</t>
  </si>
  <si>
    <t>08N2119</t>
  </si>
  <si>
    <t>30C5318</t>
  </si>
  <si>
    <t>68R0168</t>
  </si>
  <si>
    <t>75K7706</t>
  </si>
  <si>
    <t>47X3644</t>
  </si>
  <si>
    <t>26M6737</t>
  </si>
  <si>
    <t>68R0187</t>
  </si>
  <si>
    <t>68R0174</t>
  </si>
  <si>
    <t>68R0136</t>
  </si>
  <si>
    <t>14N2174</t>
  </si>
  <si>
    <t>84R9019</t>
  </si>
  <si>
    <t>06R5033</t>
  </si>
  <si>
    <t>30C5334</t>
  </si>
  <si>
    <t>53W8341</t>
  </si>
  <si>
    <t>68R0137</t>
  </si>
  <si>
    <t>12T1472</t>
  </si>
  <si>
    <t>65T8919</t>
  </si>
  <si>
    <t>68R0144</t>
  </si>
  <si>
    <t>73Y3152</t>
  </si>
  <si>
    <t>65T8533</t>
  </si>
  <si>
    <t>12X8125</t>
  </si>
  <si>
    <t>09R9693</t>
  </si>
  <si>
    <t>27M1151</t>
  </si>
  <si>
    <t>45J1588</t>
  </si>
  <si>
    <t>68R0170</t>
  </si>
  <si>
    <t>51B220</t>
  </si>
  <si>
    <t>88H4945</t>
  </si>
  <si>
    <t>75R0878</t>
  </si>
  <si>
    <t>41K3848</t>
  </si>
  <si>
    <t>75R4742</t>
  </si>
  <si>
    <t>61J7437</t>
  </si>
  <si>
    <t>99W8860</t>
  </si>
  <si>
    <t>68R0092</t>
  </si>
  <si>
    <t>75C7745</t>
  </si>
  <si>
    <t>84R5199</t>
  </si>
  <si>
    <t>86W6591</t>
  </si>
  <si>
    <t>98H0500</t>
  </si>
  <si>
    <t>65T8932</t>
  </si>
  <si>
    <t>75R4845</t>
  </si>
  <si>
    <t>54W0027</t>
  </si>
  <si>
    <t>45J0748</t>
  </si>
  <si>
    <t>68R0100</t>
  </si>
  <si>
    <t>18M9779</t>
  </si>
  <si>
    <t>67J0256</t>
  </si>
  <si>
    <t>80P4235</t>
  </si>
  <si>
    <t>58K9482</t>
  </si>
  <si>
    <t>75K7700</t>
  </si>
  <si>
    <t>42K3971</t>
  </si>
  <si>
    <t>68R0182</t>
  </si>
  <si>
    <t>89R3077</t>
  </si>
  <si>
    <t>02J2721</t>
  </si>
  <si>
    <t>88K5712</t>
  </si>
  <si>
    <t>68R0184</t>
  </si>
  <si>
    <t>05W3302</t>
  </si>
  <si>
    <t>02J2717</t>
  </si>
  <si>
    <t>19P1415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</si>
</sst>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7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A2AE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80FF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digikey.com/product-detail/en/yageo/RC0603JR-074K7L/311-4.7KGRCT-ND/729732" TargetMode="External"/><Relationship Id="rId2" Type="http://schemas.openxmlformats.org/officeDocument/2006/relationships/hyperlink" Target="http://www.mouser.com/Search/Refine.aspx?Keyword=RC0603JR-074K7L%20" TargetMode="External"/><Relationship Id="rId3" Type="http://schemas.openxmlformats.org/officeDocument/2006/relationships/hyperlink" Target="http://www.newark.com/yageo/rc0603jr-074k7l/res-thick-film-4k7-5-0-1w-0603/dp/68R0188" TargetMode="External"/><Relationship Id="rId4" Type="http://schemas.openxmlformats.org/officeDocument/2006/relationships/hyperlink" Target="http://www.digikey.com/product-detail/en/stmicroelectronics/ST3232ECTR/497-6538-1-ND/1865357" TargetMode="External"/><Relationship Id="rId5" Type="http://schemas.openxmlformats.org/officeDocument/2006/relationships/hyperlink" Target="http://www.digikey.com/scripts/DkSearch/dksus.dll?WT.z_header=search_go&amp;lang=en&amp;keywords=23A1024-I%2FSN%20%20" TargetMode="External"/><Relationship Id="rId6" Type="http://schemas.openxmlformats.org/officeDocument/2006/relationships/hyperlink" Target="http://www.newark.com/webapp/wcs/stores/servlet/Search?catalogId=15003&amp;langId=-1&amp;storeId=10194&amp;gs=true&amp;st=23A1024-I%2FSN%20%20" TargetMode="External"/><Relationship Id="rId7" Type="http://schemas.openxmlformats.org/officeDocument/2006/relationships/hyperlink" Target="http://www.digikey.com/scripts/DkSearch/dksus.dll?WT.z_header=search_go&amp;lang=en&amp;keywords=93C46B-I%2FSN%20" TargetMode="External"/><Relationship Id="rId8" Type="http://schemas.openxmlformats.org/officeDocument/2006/relationships/hyperlink" Target="http://www.newark.com/webapp/wcs/stores/servlet/Search?catalogId=15003&amp;langId=-1&amp;storeId=10194&amp;gs=true&amp;st=93C46B-I%2FSN%20" TargetMode="External"/><Relationship Id="rId9" Type="http://schemas.openxmlformats.org/officeDocument/2006/relationships/hyperlink" Target="http://www.digikey.com/scripts/DkSearch/dksus.dll?WT.z_header=search_go&amp;lang=en&amp;keywords=MCP6024-E%2FST%20" TargetMode="External"/><Relationship Id="rId10" Type="http://schemas.openxmlformats.org/officeDocument/2006/relationships/hyperlink" Target="http://www.newark.com/webapp/wcs/stores/servlet/Search?catalogId=15003&amp;langId=-1&amp;storeId=10194&amp;gs=true&amp;st=MCP6024-E%2FST%20" TargetMode="External"/><Relationship Id="rId11" Type="http://schemas.openxmlformats.org/officeDocument/2006/relationships/hyperlink" Target="http://www.digikey.com/product-detail/en/nichicon/UCW1C331MNL1GS/493-9415-1-ND/3962763" TargetMode="External"/><Relationship Id="rId12" Type="http://schemas.openxmlformats.org/officeDocument/2006/relationships/hyperlink" Target="http://www.mouser.com/Search/Refine.aspx?Keyword=UCW1C331MNL1GS%20%20" TargetMode="External"/><Relationship Id="rId13" Type="http://schemas.openxmlformats.org/officeDocument/2006/relationships/hyperlink" Target="http://www.newark.com/panasonic-electronic-components/eee-1ca331up/aluminum-electrolytic-capacitor/dp/49W5048?rpsku=rel3%3AUCW1C331MNL1GS" TargetMode="External"/><Relationship Id="rId14" Type="http://schemas.openxmlformats.org/officeDocument/2006/relationships/hyperlink" Target="http://www.digikey.com/scripts/DkSearch/dksus.dll?WT.z_header=search_go&amp;lang=en&amp;keywords=502AAA-ADAG%20" TargetMode="External"/><Relationship Id="rId15" Type="http://schemas.openxmlformats.org/officeDocument/2006/relationships/hyperlink" Target="http://www.digikey.com/product-detail/en/bourns-inc/CR2010-JW-101ELF/CR2010-JW-101ELFCT-ND/3741056" TargetMode="External"/><Relationship Id="rId16" Type="http://schemas.openxmlformats.org/officeDocument/2006/relationships/hyperlink" Target="http://www.mouser.com/Search/Refine.aspx?Keyword=CR2010-JW-101ELF%20%20" TargetMode="External"/><Relationship Id="rId17" Type="http://schemas.openxmlformats.org/officeDocument/2006/relationships/hyperlink" Target="http://www.newark.com/webapp/wcs/stores/servlet/Search?catalogId=15003&amp;langId=-1&amp;storeId=10194&amp;gs=true&amp;st=CR2010-JW-101ELF%20%20" TargetMode="External"/><Relationship Id="rId18" Type="http://schemas.openxmlformats.org/officeDocument/2006/relationships/hyperlink" Target="http://www.digikey.com/product-detail/en/kemet/T491A106K006AT/399-3683-1-ND/819008" TargetMode="External"/><Relationship Id="rId19" Type="http://schemas.openxmlformats.org/officeDocument/2006/relationships/hyperlink" Target="http://www.mouser.com/Search/Refine.aspx?Keyword=T491A106K006AT7280%20" TargetMode="External"/><Relationship Id="rId20" Type="http://schemas.openxmlformats.org/officeDocument/2006/relationships/hyperlink" Target="http://www.newark.com/webapp/wcs/stores/servlet/Search?catalogId=15003&amp;langId=-1&amp;storeId=10194&amp;gs=true&amp;st=T491A106K006AT7280%20" TargetMode="External"/><Relationship Id="rId21" Type="http://schemas.openxmlformats.org/officeDocument/2006/relationships/hyperlink" Target="http://www.digikey.com/product-detail/en/kemet/T491A106K006AT/399-3683-1-ND/819008" TargetMode="External"/><Relationship Id="rId22" Type="http://schemas.openxmlformats.org/officeDocument/2006/relationships/hyperlink" Target="http://www.newark.com/kemet/t491a106k006at/tantalum-capacitor-10uf-6v-4-ohm/dp/57K1634" TargetMode="External"/><Relationship Id="rId23" Type="http://schemas.openxmlformats.org/officeDocument/2006/relationships/hyperlink" Target="http://www.digikey.com/scripts/DkSearch/dksus.dll?WT.z_header=search_go&amp;lang=en&amp;keywords=311-2.2KGRCT-ND%20" TargetMode="External"/><Relationship Id="rId24" Type="http://schemas.openxmlformats.org/officeDocument/2006/relationships/hyperlink" Target="http://www.digikey.com/product-detail/en/yageo/RC0603JR-072K2L/311-2.2KGRCT-ND/729676" TargetMode="External"/><Relationship Id="rId25" Type="http://schemas.openxmlformats.org/officeDocument/2006/relationships/hyperlink" Target="http://www.mouser.com/Search/Refine.aspx?Keyword=RC0603JR-072K2L%20%20" TargetMode="External"/><Relationship Id="rId26" Type="http://schemas.openxmlformats.org/officeDocument/2006/relationships/hyperlink" Target="http://www.newark.com/webapp/wcs/stores/servlet/Search?catalogId=15003&amp;langId=-1&amp;storeId=10194&amp;gs=true&amp;st=RC0603JR-072K2L%20%20" TargetMode="External"/><Relationship Id="rId27" Type="http://schemas.openxmlformats.org/officeDocument/2006/relationships/hyperlink" Target="http://www.digikey.com/product-detail/en/on-semiconductor/NCP1117ST33T3G/NCP1117ST33T3GOSCT-ND/660708" TargetMode="External"/><Relationship Id="rId28" Type="http://schemas.openxmlformats.org/officeDocument/2006/relationships/hyperlink" Target="http://www.newark.com/on-semiconductor/ncp1117st33t3g/ldo-voltage-regulator-3-3v-1a/dp/67H7013" TargetMode="External"/><Relationship Id="rId29" Type="http://schemas.openxmlformats.org/officeDocument/2006/relationships/hyperlink" Target="http://www.digikey.com/product-detail/en/murata-electronics-north-america/BLM18KG221SN1D/490-5255-1-ND/1982778" TargetMode="External"/><Relationship Id="rId30" Type="http://schemas.openxmlformats.org/officeDocument/2006/relationships/hyperlink" Target="http://www.mouser.com/Search/Refine.aspx?Keyword=BLM18KG221SN1D%20" TargetMode="External"/><Relationship Id="rId31" Type="http://schemas.openxmlformats.org/officeDocument/2006/relationships/hyperlink" Target="http://www.newark.com/webapp/wcs/stores/servlet/Search?catalogId=15003&amp;langId=-1&amp;storeId=10194&amp;gs=true&amp;st=BLM18KG221SN1D%20" TargetMode="External"/><Relationship Id="rId32" Type="http://schemas.openxmlformats.org/officeDocument/2006/relationships/hyperlink" Target="http://www.digikey.com/product-detail/en/murata-electronics-north-america/BLM18KG221SN1D/490-5255-1-ND/1982778" TargetMode="External"/><Relationship Id="rId33" Type="http://schemas.openxmlformats.org/officeDocument/2006/relationships/hyperlink" Target="http://www.mouser.com/Search/Refine.aspx?Keyword=BLM18KG221SN1D%20%20" TargetMode="External"/><Relationship Id="rId34" Type="http://schemas.openxmlformats.org/officeDocument/2006/relationships/hyperlink" Target="http://www.newark.com/webapp/wcs/stores/servlet/Search?catalogId=15003&amp;langId=-1&amp;storeId=10194&amp;gs=true&amp;st=BLM18KG221SN1D%20%20" TargetMode="External"/><Relationship Id="rId35" Type="http://schemas.openxmlformats.org/officeDocument/2006/relationships/hyperlink" Target="http://www.digikey.com/product-detail/en/fairchild-semiconductor/FQT13N06LTF/FQT13N06LTFCT-ND/3042614" TargetMode="External"/><Relationship Id="rId36" Type="http://schemas.openxmlformats.org/officeDocument/2006/relationships/hyperlink" Target="http://www.mouser.com/Search/Refine.aspx?Keyword=%20FQT13N06LTF%20" TargetMode="External"/><Relationship Id="rId37" Type="http://schemas.openxmlformats.org/officeDocument/2006/relationships/hyperlink" Target="http://www.newark.com/webapp/wcs/stores/servlet/Search?catalogId=15003&amp;langId=-1&amp;storeId=10194&amp;gs=true&amp;st=%20FQT13N06LTF%20" TargetMode="External"/><Relationship Id="rId38" Type="http://schemas.openxmlformats.org/officeDocument/2006/relationships/hyperlink" Target="http://www.digikey.com/product-detail/en/panasonic-electronic-components/ERA-3AEB333V/P33KDBCT-ND/1466088" TargetMode="External"/><Relationship Id="rId39" Type="http://schemas.openxmlformats.org/officeDocument/2006/relationships/hyperlink" Target="http://www.mouser.com/Search/Refine.aspx?Keyword=ERA-3AEB333V%20" TargetMode="External"/><Relationship Id="rId40" Type="http://schemas.openxmlformats.org/officeDocument/2006/relationships/hyperlink" Target="http://www.newark.com/panasonic-electronic-components/era-3aeb333v/res-thin-film-33k-0-1-0-1w-0603/dp/08N2119" TargetMode="External"/><Relationship Id="rId41" Type="http://schemas.openxmlformats.org/officeDocument/2006/relationships/hyperlink" Target="http://www.digikey.com/product-detail/en/kemet/C0603C471K5RACTU/399-1075-1-ND/411350" TargetMode="External"/><Relationship Id="rId42" Type="http://schemas.openxmlformats.org/officeDocument/2006/relationships/hyperlink" Target="http://www.newark.com/kemet/c0603c471k5ractu/ceramic-capacitor-470pf-50v-x7r/dp/30C5318" TargetMode="External"/><Relationship Id="rId43" Type="http://schemas.openxmlformats.org/officeDocument/2006/relationships/hyperlink" Target="http://www.digikey.com/product-detail/en/samsung-electro-mechanics-america-inc/CL10B272KB8SFNC/1276-2023-1-ND/3890109" TargetMode="External"/><Relationship Id="rId44" Type="http://schemas.openxmlformats.org/officeDocument/2006/relationships/hyperlink" Target="http://www.digikey.com/product-detail/en/bourns-inc/MH1608-221Y/MH1608-221YCT-ND/3767624" TargetMode="External"/><Relationship Id="rId45" Type="http://schemas.openxmlformats.org/officeDocument/2006/relationships/hyperlink" Target="http://www.newark.com/webapp/wcs/stores/servlet/Search?catalogId=15003&amp;langId=-1&amp;storeId=10194&amp;gs=true&amp;st=MH1608-221Y%20" TargetMode="External"/><Relationship Id="rId46" Type="http://schemas.openxmlformats.org/officeDocument/2006/relationships/hyperlink" Target="http://www.digikey.com/product-detail/en/kemet/C0603C105K9PACTU/399-7848-1-ND/3471571" TargetMode="External"/><Relationship Id="rId47" Type="http://schemas.openxmlformats.org/officeDocument/2006/relationships/hyperlink" Target="http://www.newark.com/kemet/c0603c105k9pactu/mlcc-capacitor-1uf-6-3v-x5r-10/dp/73H4095" TargetMode="External"/><Relationship Id="rId48" Type="http://schemas.openxmlformats.org/officeDocument/2006/relationships/hyperlink" Target="http://www.digikey.com/product-detail/en/yageo/RC0603JR-0722RL/311-22GRCT-ND/729690" TargetMode="External"/><Relationship Id="rId49" Type="http://schemas.openxmlformats.org/officeDocument/2006/relationships/hyperlink" Target="http://www.mouser.com/Search/Refine.aspx?Keyword=RC0603JR-0722RL%20" TargetMode="External"/><Relationship Id="rId50" Type="http://schemas.openxmlformats.org/officeDocument/2006/relationships/hyperlink" Target="http://www.newark.com/yageo/rc0603jr-0722rl/res-thick-film-22r-5-0-1w-0603/dp/68R0168" TargetMode="External"/><Relationship Id="rId51" Type="http://schemas.openxmlformats.org/officeDocument/2006/relationships/hyperlink" Target="http://www.digikey.com/product-detail/en/bourns-inc/MF-USMF005-2/MF-USMF005-2CT-ND/1014930" TargetMode="External"/><Relationship Id="rId52" Type="http://schemas.openxmlformats.org/officeDocument/2006/relationships/hyperlink" Target="http://www.mouser.com/Search/Refine.aspx?Keyword=MF-USMF005-2%20" TargetMode="External"/><Relationship Id="rId53" Type="http://schemas.openxmlformats.org/officeDocument/2006/relationships/hyperlink" Target="http://www.newark.com/bourns/usmf005-2/fuse-ptc-reset-30v-50ma-1210/dp/75K7706" TargetMode="External"/><Relationship Id="rId54" Type="http://schemas.openxmlformats.org/officeDocument/2006/relationships/hyperlink" Target="http://www.digikey.com/scripts/DkSearch/dksus.dll?WT.z_header=search_go&amp;lang=en&amp;keywords=182-009-113R561%20%20" TargetMode="External"/><Relationship Id="rId55" Type="http://schemas.openxmlformats.org/officeDocument/2006/relationships/hyperlink" Target="http://www.mouser.com/Search/Refine.aspx?Keyword=182-009-113R561%20%20" TargetMode="External"/><Relationship Id="rId56" Type="http://schemas.openxmlformats.org/officeDocument/2006/relationships/hyperlink" Target="http://www.newark.com/webapp/wcs/stores/servlet/Search?catalogId=15003&amp;langId=-1&amp;storeId=10194&amp;gs=true&amp;st=182-009-113R561%20%20" TargetMode="External"/><Relationship Id="rId57" Type="http://schemas.openxmlformats.org/officeDocument/2006/relationships/hyperlink" Target="http://www.digikey.com/product-detail/en/yageo/RC0603JR-07100RL/311-100GRCT-ND/729644" TargetMode="External"/><Relationship Id="rId58" Type="http://schemas.openxmlformats.org/officeDocument/2006/relationships/hyperlink" Target="http://www.newark.com/webapp/wcs/stores/servlet/Search?catalogId=15003&amp;langId=-1&amp;storeId=10194&amp;gs=true&amp;st=RC0603JR-07100RL%20" TargetMode="External"/><Relationship Id="rId59" Type="http://schemas.openxmlformats.org/officeDocument/2006/relationships/hyperlink" Target="http://www.digikey.com/product-detail/en/yageo/RC0603JR-07390RL/311-390GRCT-ND/729724" TargetMode="External"/><Relationship Id="rId60" Type="http://schemas.openxmlformats.org/officeDocument/2006/relationships/hyperlink" Target="http://www.newark.com/yageo/rc0603jr-07390rl/res-thick-film-390r-5-0-1w-0603/dp/68R0187" TargetMode="External"/><Relationship Id="rId61" Type="http://schemas.openxmlformats.org/officeDocument/2006/relationships/hyperlink" Target="http://www.digikey.com/product-detail/en/yageo/RC0603JR-07270RL/311-270GRCT-ND/729696" TargetMode="External"/><Relationship Id="rId62" Type="http://schemas.openxmlformats.org/officeDocument/2006/relationships/hyperlink" Target="http://www.mouser.com/Search/Refine.aspx?Keyword=RC0603JR-07270RL%20%20" TargetMode="External"/><Relationship Id="rId63" Type="http://schemas.openxmlformats.org/officeDocument/2006/relationships/hyperlink" Target="http://www.newark.com/yageo/rc0603jr-07270rl/res-thick-film-270r-5-0-1w-0603/dp/68R0174" TargetMode="External"/><Relationship Id="rId64" Type="http://schemas.openxmlformats.org/officeDocument/2006/relationships/hyperlink" Target="http://www.digikey.com/product-detail/en/yageo/RC0603JR-07270RL/311-270GRCT-ND/729696" TargetMode="External"/><Relationship Id="rId65" Type="http://schemas.openxmlformats.org/officeDocument/2006/relationships/hyperlink" Target="http://www.newark.com/yageo/rc0603jr-07270rl/res-thick-film-270r-5-0-1w-0603/dp/68R0174" TargetMode="External"/><Relationship Id="rId66" Type="http://schemas.openxmlformats.org/officeDocument/2006/relationships/hyperlink" Target="http://www.digikey.com/product-detail/en/yageo/RC0603JR-07100KL/311-100KGRCT-ND/729645" TargetMode="External"/><Relationship Id="rId67" Type="http://schemas.openxmlformats.org/officeDocument/2006/relationships/hyperlink" Target="http://www.newark.com/yageo/rc0603jr-07100kl/res-thick-film-100k-5-0-1w-0603/dp/68R0147" TargetMode="External"/><Relationship Id="rId68" Type="http://schemas.openxmlformats.org/officeDocument/2006/relationships/hyperlink" Target="http://www.digikey.com/product-detail/en/epson/FA-238V-12.0000MB-W3/SER3683CT-ND/2403456" TargetMode="External"/><Relationship Id="rId69" Type="http://schemas.openxmlformats.org/officeDocument/2006/relationships/hyperlink" Target="http://www.digikey.com/product-detail/en/yageo/RC0603JR-070RL/311-0.0GRCT-ND/729622" TargetMode="External"/><Relationship Id="rId70" Type="http://schemas.openxmlformats.org/officeDocument/2006/relationships/hyperlink" Target="http://www.newark.com/yageo/rc0603jr-070rl/res-thick-film-0r-0-1w-0603/dp/68R0136" TargetMode="External"/><Relationship Id="rId71" Type="http://schemas.openxmlformats.org/officeDocument/2006/relationships/hyperlink" Target="http://www.digikey.com/product-detail/en/kemet/C0603C335M9PACTU/399-5502-1-ND/1950680" TargetMode="External"/><Relationship Id="rId72" Type="http://schemas.openxmlformats.org/officeDocument/2006/relationships/hyperlink" Target="http://www.newark.com/webapp/wcs/stores/servlet/Search?catalogId=15003&amp;langId=-1&amp;storeId=10194&amp;gs=true&amp;st=C0603C335M9PACTU%20" TargetMode="External"/><Relationship Id="rId73" Type="http://schemas.openxmlformats.org/officeDocument/2006/relationships/hyperlink" Target="http://www.digikey.com/product-detail/en/nichicon/UCL1V471MNL1GS/493-3961-1-ND/2300388" TargetMode="External"/><Relationship Id="rId74" Type="http://schemas.openxmlformats.org/officeDocument/2006/relationships/hyperlink" Target="http://www.newark.com/nichicon/ucl1v471mnl1gs/aluminum-electrolytic-capacitor/dp/84R9019" TargetMode="External"/><Relationship Id="rId75" Type="http://schemas.openxmlformats.org/officeDocument/2006/relationships/hyperlink" Target="http://www.digikey.com/product-detail/en/everlight-electronics-co-ltd/QTLP600C7TR/1080-1400-1-ND/2676134" TargetMode="External"/><Relationship Id="rId76" Type="http://schemas.openxmlformats.org/officeDocument/2006/relationships/hyperlink" Target="http://www.digikey.com/product-detail/en/samsung-electro-mechanics-america-inc/CL10B562KB8SFNC/1276-2092-1-ND/3890178" TargetMode="External"/><Relationship Id="rId77" Type="http://schemas.openxmlformats.org/officeDocument/2006/relationships/hyperlink" Target="http://www.newark.com/multicomp/mc0603b562k500ct/ceramic-capacitor-5600pf-50v-x7r/dp/06R5033?iscrfnonsku=true" TargetMode="External"/><Relationship Id="rId78" Type="http://schemas.openxmlformats.org/officeDocument/2006/relationships/hyperlink" Target="http://www.digikey.com/product-detail/en/susumu/RG1608P-153-B-T5/RG16P15.0KBCT-ND/1240871" TargetMode="External"/><Relationship Id="rId79" Type="http://schemas.openxmlformats.org/officeDocument/2006/relationships/hyperlink" Target="http://www.newark.com/webapp/wcs/stores/servlet/Search?catalogId=15003&amp;langId=-1&amp;storeId=10194&amp;gs=true&amp;st=RG1608P-153-B-T5%20" TargetMode="External"/><Relationship Id="rId80" Type="http://schemas.openxmlformats.org/officeDocument/2006/relationships/hyperlink" Target="http://www.digikey.com/product-detail/en/kemet/C0603C103K5RACTU/399-1091-1-ND/411366" TargetMode="External"/><Relationship Id="rId81" Type="http://schemas.openxmlformats.org/officeDocument/2006/relationships/hyperlink" Target="http://www.newark.com/kemet/c0603c103k5ractu/ceramic-capacitor-0-01uf-50v-x7r/dp/30C5334" TargetMode="External"/><Relationship Id="rId82" Type="http://schemas.openxmlformats.org/officeDocument/2006/relationships/hyperlink" Target="http://www.digikey.com/product-detail/en/panasonic-electronic-components/ERA-3AEB2491V/P2.49KDBCT-ND/3075884" TargetMode="External"/><Relationship Id="rId83" Type="http://schemas.openxmlformats.org/officeDocument/2006/relationships/hyperlink" Target="http://www.newark.com/panasonic-electronic-components/era-3aeb2491v/res-metal-film-2k49-0-1-0-1w-0603/dp/53W8341" TargetMode="External"/><Relationship Id="rId84" Type="http://schemas.openxmlformats.org/officeDocument/2006/relationships/hyperlink" Target="http://www.digikey.com/product-detail/en/yageo/RC0603JR-071KL/311-1.0KGRCT-ND/729624" TargetMode="External"/><Relationship Id="rId85" Type="http://schemas.openxmlformats.org/officeDocument/2006/relationships/hyperlink" Target="http://www.newark.com/yageo/rc0603jr-071kl/res-thick-film-1k-5-0-1w-0603/dp/68R0137" TargetMode="External"/><Relationship Id="rId86" Type="http://schemas.openxmlformats.org/officeDocument/2006/relationships/hyperlink" Target="http://www.digikey.com/product-detail/en/yageo/RC0603JR-071KL/311-1.0KGRCT-ND/729624" TargetMode="External"/><Relationship Id="rId87" Type="http://schemas.openxmlformats.org/officeDocument/2006/relationships/hyperlink" Target="http://www.newark.com/yageo/rc0603jr-071kl/res-thick-film-1k-5-0-1w-0603/dp/68R0137" TargetMode="External"/><Relationship Id="rId88" Type="http://schemas.openxmlformats.org/officeDocument/2006/relationships/hyperlink" Target="http://www.digikey.com/product-detail/en/diodes-incorporated/B540C-13-F/B540C-FDICT-ND/768814" TargetMode="External"/><Relationship Id="rId89" Type="http://schemas.openxmlformats.org/officeDocument/2006/relationships/hyperlink" Target="http://www.newark.com/diodes-inc/b540c-13-f/schottky-diode-5a-40v-smc/dp/12T1472" TargetMode="External"/><Relationship Id="rId90" Type="http://schemas.openxmlformats.org/officeDocument/2006/relationships/hyperlink" Target="http://www.digikey.com/product-detail/en/murata-electronics-north-america/GRM033R71E331KA01D/490-3178-1-ND/702719" TargetMode="External"/><Relationship Id="rId91" Type="http://schemas.openxmlformats.org/officeDocument/2006/relationships/hyperlink" Target="http://www.newark.com/webapp/wcs/stores/servlet/Search?catalogId=15003&amp;langId=-1&amp;storeId=10194&amp;gs=true&amp;st=GRM033R71E331KA01D%20" TargetMode="External"/><Relationship Id="rId92" Type="http://schemas.openxmlformats.org/officeDocument/2006/relationships/hyperlink" Target="http://www.digikey.com/product-detail/en/panasonic-electronic-components/ERJ-8GEYJ222V/P2.2KECT-ND/203296" TargetMode="External"/><Relationship Id="rId93" Type="http://schemas.openxmlformats.org/officeDocument/2006/relationships/hyperlink" Target="http://www.newark.com/panasonic-electronic-components/erj-8geyj222v/res-thick-film-2k2-5-0-25w-1206/dp/65T8919" TargetMode="External"/><Relationship Id="rId94" Type="http://schemas.openxmlformats.org/officeDocument/2006/relationships/hyperlink" Target="http://www.digikey.com/product-detail/en/yageo/RC0603JR-0710KL/311-10KGRCT-ND/729647" TargetMode="External"/><Relationship Id="rId95" Type="http://schemas.openxmlformats.org/officeDocument/2006/relationships/hyperlink" Target="http://www.newark.com/yageo/rc0603jr-0710kl/res-thick-film-10k-5-0-1w-0603/dp/68R0144" TargetMode="External"/><Relationship Id="rId96" Type="http://schemas.openxmlformats.org/officeDocument/2006/relationships/hyperlink" Target="http://www.digikey.com/product-detail/en/yageo/RC0603JR-0710KL/311-10KGRCT-ND/729647" TargetMode="External"/><Relationship Id="rId97" Type="http://schemas.openxmlformats.org/officeDocument/2006/relationships/hyperlink" Target="http://www.newark.com/yageo/rc0603jr-0710kl/res-thick-film-10k-5-0-1w-0603/dp/68R0144" TargetMode="External"/><Relationship Id="rId98" Type="http://schemas.openxmlformats.org/officeDocument/2006/relationships/hyperlink" Target="http://www.digikey.com/product-detail/en/maxim-integrated/MAX3072EESA-T/MAX3072EESA-TCT-ND/3647905" TargetMode="External"/><Relationship Id="rId99" Type="http://schemas.openxmlformats.org/officeDocument/2006/relationships/hyperlink" Target="http://www.newark.com/webapp/wcs/stores/servlet/Search?catalogId=15003&amp;langId=-1&amp;storeId=10194&amp;gs=true&amp;st=MAX3072EESA%2BT%20" TargetMode="External"/><Relationship Id="rId100" Type="http://schemas.openxmlformats.org/officeDocument/2006/relationships/hyperlink" Target="http://www.digikey.com/product-detail/en/te-connectivity-alcoswitch-switches/FSM2JSMAATR/450-1792-1-ND/3503931" TargetMode="External"/><Relationship Id="rId101" Type="http://schemas.openxmlformats.org/officeDocument/2006/relationships/hyperlink" Target="http://www.newark.com/webapp/wcs/stores/servlet/Search?catalogId=15003&amp;langId=-1&amp;storeId=10194&amp;gs=true&amp;st=FSM2JSMAATR%20" TargetMode="External"/><Relationship Id="rId102" Type="http://schemas.openxmlformats.org/officeDocument/2006/relationships/hyperlink" Target="http://www.digikey.com/product-detail/en/kemet/C0603C105K9PACTU/399-7848-1-ND/3471571" TargetMode="External"/><Relationship Id="rId103" Type="http://schemas.openxmlformats.org/officeDocument/2006/relationships/hyperlink" Target="http://www.newark.com/kemet/c0603c105k9pactu/mlcc-capacitor-1uf-6-3v-x5r-10/dp/73H4095" TargetMode="External"/><Relationship Id="rId104" Type="http://schemas.openxmlformats.org/officeDocument/2006/relationships/hyperlink" Target="http://www.digikey.com/product-detail/en/panasonic-electronic-components/ERJ-3EKF8451V/P8.45KHCT-ND/198516" TargetMode="External"/><Relationship Id="rId105" Type="http://schemas.openxmlformats.org/officeDocument/2006/relationships/hyperlink" Target="http://www.newark.com/panasonic-electronic-components/erj-3ekf8451v/res-thick-film-8k45-1-0-1w-0603/dp/65T8533" TargetMode="External"/><Relationship Id="rId106" Type="http://schemas.openxmlformats.org/officeDocument/2006/relationships/hyperlink" Target="http://www.digikey.com/product-detail/en/lite-on-inc/LTST-C191KGKT/160-1446-1-ND/386834" TargetMode="External"/><Relationship Id="rId107" Type="http://schemas.openxmlformats.org/officeDocument/2006/relationships/hyperlink" Target="http://www.newark.com/webapp/wcs/stores/servlet/Search?catalogId=15003&amp;langId=-1&amp;storeId=10194&amp;gs=true&amp;st=LTST-C191KGKT%20" TargetMode="External"/><Relationship Id="rId108" Type="http://schemas.openxmlformats.org/officeDocument/2006/relationships/hyperlink" Target="http://www.digikey.com/product-detail/en/on-semiconductor/P6SMB12CAT3G/P6SMB12CAT3GOSCT-ND/1967278" TargetMode="External"/><Relationship Id="rId109" Type="http://schemas.openxmlformats.org/officeDocument/2006/relationships/hyperlink" Target="http://www.newark.com/on-semiconductor/p6smb12cat3g/tvs-diode-600w-12v-403a/dp/09R9693" TargetMode="External"/><Relationship Id="rId110" Type="http://schemas.openxmlformats.org/officeDocument/2006/relationships/hyperlink" Target="http://www.digikey.com/product-detail/en/panasonic-electronic-components/ERA-3AEB2491V/P2.49KDBCT-ND/3075884" TargetMode="External"/><Relationship Id="rId111" Type="http://schemas.openxmlformats.org/officeDocument/2006/relationships/hyperlink" Target="http://www.newark.com/panasonic-electronic-components/era-3aeb2491v/res-metal-film-2k49-0-1-0-1w-0603/dp/53W8341" TargetMode="External"/><Relationship Id="rId112" Type="http://schemas.openxmlformats.org/officeDocument/2006/relationships/hyperlink" Target="http://www.digikey.com/product-detail/en/texas-instruments/TXB0108PWR/296-21527-1-ND/1305700" TargetMode="External"/><Relationship Id="rId113" Type="http://schemas.openxmlformats.org/officeDocument/2006/relationships/hyperlink" Target="http://www.newark.com/texas-instruments/txb0108pwr/8-bit-voltage-level-xlator-tssop/dp/27M1151" TargetMode="External"/><Relationship Id="rId114" Type="http://schemas.openxmlformats.org/officeDocument/2006/relationships/hyperlink" Target="http://www.digikey.com/product-detail/en/kemet/C0603C104K5RACTU/399-5089-1-ND/1465623" TargetMode="External"/><Relationship Id="rId115" Type="http://schemas.openxmlformats.org/officeDocument/2006/relationships/hyperlink" Target="http://www.newark.com/kemet/c0603c104k5ractu/ceramic-capacitor-0-1uf-50v-x7r/dp/72J5992" TargetMode="External"/><Relationship Id="rId116" Type="http://schemas.openxmlformats.org/officeDocument/2006/relationships/hyperlink" Target="http://www.digikey.com/product-detail/en/yageo/RC0603JR-072K2L/311-2.2KGRCT-ND/729676" TargetMode="External"/><Relationship Id="rId117" Type="http://schemas.openxmlformats.org/officeDocument/2006/relationships/hyperlink" Target="http://www.newark.com/webapp/wcs/stores/servlet/Search?catalogId=15003&amp;langId=-1&amp;storeId=10194&amp;gs=true&amp;st=RC0603JR-072K2L%20%20" TargetMode="External"/><Relationship Id="rId118" Type="http://schemas.openxmlformats.org/officeDocument/2006/relationships/hyperlink" Target="http://www.digikey.com/product-detail/en/yageo/RC0603FR-0712K1L/311-12.1KHRCT-ND/729862" TargetMode="External"/><Relationship Id="rId119" Type="http://schemas.openxmlformats.org/officeDocument/2006/relationships/hyperlink" Target="http://www.newark.com/yageo/rc0603fr-0712k1l/res-thick-film-12k1-1-0-1w-0603/dp/66R2021" TargetMode="External"/><Relationship Id="rId120" Type="http://schemas.openxmlformats.org/officeDocument/2006/relationships/hyperlink" Target="http://www.digikey.com/product-detail/en/on-semiconductor/MMSZ5V6T1G/MMSZ5V6T1GOSCT-ND/919785" TargetMode="External"/><Relationship Id="rId121" Type="http://schemas.openxmlformats.org/officeDocument/2006/relationships/hyperlink" Target="http://www.newark.com/on-semiconductor/mmsz5v6t1g/zener-diode-500mw-5-6v-sod-123/dp/45J1588" TargetMode="External"/><Relationship Id="rId122" Type="http://schemas.openxmlformats.org/officeDocument/2006/relationships/hyperlink" Target="http://www.digikey.com/product-detail/en/yageo/RC0603JR-07220RL/311-220GRCT-ND/729688" TargetMode="External"/><Relationship Id="rId123" Type="http://schemas.openxmlformats.org/officeDocument/2006/relationships/hyperlink" Target="http://www.newark.com/yageo/rc0603jr-07220rl/res-thick-film-220r-5-0-1w-0603/dp/68R0170" TargetMode="External"/><Relationship Id="rId124" Type="http://schemas.openxmlformats.org/officeDocument/2006/relationships/hyperlink" Target="http://www.digikey.com/product-detail/en/kemet/C0603C102K5RACTU/399-1082-1-ND/411357" TargetMode="External"/><Relationship Id="rId125" Type="http://schemas.openxmlformats.org/officeDocument/2006/relationships/hyperlink" Target="http://www.newark.com/kemet/c0603c102k5ractu/ceramic-capacitor-1000pf-50v-x7r/dp/51B220" TargetMode="External"/><Relationship Id="rId126" Type="http://schemas.openxmlformats.org/officeDocument/2006/relationships/hyperlink" Target="http://www.digikey.com/product-detail/en/susumu/RG1608P-153-B-T5/RG16P15.0KBCT-ND/1240871" TargetMode="External"/><Relationship Id="rId127" Type="http://schemas.openxmlformats.org/officeDocument/2006/relationships/hyperlink" Target="http://www.newark.com/webapp/wcs/stores/servlet/Search?catalogId=15003&amp;langId=-1&amp;storeId=10194&amp;gs=true&amp;st=RG1608P-153-B-T5%20%20" TargetMode="External"/><Relationship Id="rId128" Type="http://schemas.openxmlformats.org/officeDocument/2006/relationships/hyperlink" Target="http://www.digikey.com/product-detail/en/yageo/RC0603FR-0719K1L/311-19.1KHRCT-ND/729948" TargetMode="External"/><Relationship Id="rId129" Type="http://schemas.openxmlformats.org/officeDocument/2006/relationships/hyperlink" Target="http://www.newark.com/webapp/wcs/stores/servlet/Search?catalogId=15003&amp;langId=-1&amp;storeId=10194&amp;gs=true&amp;st=RC0603FR-0719K1L%20" TargetMode="External"/><Relationship Id="rId130" Type="http://schemas.openxmlformats.org/officeDocument/2006/relationships/hyperlink" Target="http://www.digikey.com/product-detail/en/on-semiconductor/MURS360T3G/MURS360T3GOSCT-ND/964580" TargetMode="External"/><Relationship Id="rId131" Type="http://schemas.openxmlformats.org/officeDocument/2006/relationships/hyperlink" Target="http://www.newark.com/on-semiconductor/murs360t3g/fast-recovery-diode-3a-600v-403/dp/88H4945" TargetMode="External"/><Relationship Id="rId132" Type="http://schemas.openxmlformats.org/officeDocument/2006/relationships/hyperlink" Target="http://www.digikey.com/product-detail/en/nxp-semiconductors/PMEG3020EH,115/568-4129-1-ND/1589944" TargetMode="External"/><Relationship Id="rId133" Type="http://schemas.openxmlformats.org/officeDocument/2006/relationships/hyperlink" Target="http://www.newark.com/nxp/pmeg3020eh-115/schottky-diode-2a-30v-sod-123f/dp/75R0878" TargetMode="External"/><Relationship Id="rId134" Type="http://schemas.openxmlformats.org/officeDocument/2006/relationships/hyperlink" Target="http://www.digikey.com/product-detail/en/texas-instruments/LM2596SX-5.0-NOPB/LM2596SX-5.0-NOPBCT-ND/3767457" TargetMode="External"/><Relationship Id="rId135" Type="http://schemas.openxmlformats.org/officeDocument/2006/relationships/hyperlink" Target="http://www.newark.com/texas-instruments/lm2596sx-5-0-nopb/step-down-voltage-regulator-to/dp/41K3848" TargetMode="External"/><Relationship Id="rId136" Type="http://schemas.openxmlformats.org/officeDocument/2006/relationships/hyperlink" Target="http://www.digikey.com/product-detail/en/cts-frequency-controls/TC25L5I32K7680/CTX1183CT-ND/3511747" TargetMode="External"/><Relationship Id="rId137" Type="http://schemas.openxmlformats.org/officeDocument/2006/relationships/hyperlink" Target="http://www.digikey.com/scripts/DkSearch/dksus.dll?WT.z_header=search_go&amp;lang=en&amp;keywords=311-1.5KGRCT-ND%20" TargetMode="External"/><Relationship Id="rId138" Type="http://schemas.openxmlformats.org/officeDocument/2006/relationships/hyperlink" Target="http://www.digikey.com/product-detail/en/nxp-semiconductors/PESD1CAN,215/568-4032-1-ND/1530822" TargetMode="External"/><Relationship Id="rId139" Type="http://schemas.openxmlformats.org/officeDocument/2006/relationships/hyperlink" Target="http://www.newark.com/nxp/pesd1can-215/diode-esd-24v-sot-23/dp/75R4742" TargetMode="External"/><Relationship Id="rId140" Type="http://schemas.openxmlformats.org/officeDocument/2006/relationships/hyperlink" Target="http://www.digikey.com/product-detail/en/microchip-technology/24AA025E48T-I-SN/24AA025E48T-I-SNCT-ND/5147216" TargetMode="External"/><Relationship Id="rId141" Type="http://schemas.openxmlformats.org/officeDocument/2006/relationships/hyperlink" Target="http://www.newark.com/webapp/wcs/stores/servlet/Search?catalogId=15003&amp;langId=-1&amp;storeId=10194&amp;gs=true&amp;st=24AA025E48T-I%2FSN%20" TargetMode="External"/><Relationship Id="rId142" Type="http://schemas.openxmlformats.org/officeDocument/2006/relationships/hyperlink" Target="http://www.digikey.com/product-detail/en/yageo/RC0603JR-074K7L/311-4.7KGRCT-ND/729732" TargetMode="External"/><Relationship Id="rId143" Type="http://schemas.openxmlformats.org/officeDocument/2006/relationships/hyperlink" Target="http://www.newark.com/yageo/rc0603jr-074k7l/res-thick-film-4k7-5-0-1w-0603/dp/68R0188" TargetMode="External"/><Relationship Id="rId144" Type="http://schemas.openxmlformats.org/officeDocument/2006/relationships/hyperlink" Target="http://www.digikey.com/scripts/DkSearch/dksus.dll?WT.z_header=search_go&amp;lang=en&amp;keywords=SST26VF064BAT-104I%2FSM%20" TargetMode="External"/><Relationship Id="rId145" Type="http://schemas.openxmlformats.org/officeDocument/2006/relationships/hyperlink" Target="http://www.newark.com/webapp/wcs/stores/servlet/Search?catalogId=15003&amp;langId=-1&amp;storeId=10194&amp;gs=true&amp;st=SST26VF064BAT-104I%2FSM%20" TargetMode="External"/><Relationship Id="rId146" Type="http://schemas.openxmlformats.org/officeDocument/2006/relationships/hyperlink" Target="http://www.digikey.com/product-detail/en/eaton/PTS12066V100/283-3142-1-ND/2639174" TargetMode="External"/><Relationship Id="rId147" Type="http://schemas.openxmlformats.org/officeDocument/2006/relationships/hyperlink" Target="http://www.newark.com/webapp/wcs/stores/servlet/Search?catalogId=15003&amp;langId=-1&amp;storeId=10194&amp;gs=true&amp;st=PTS12066V100%20" TargetMode="External"/><Relationship Id="rId148" Type="http://schemas.openxmlformats.org/officeDocument/2006/relationships/hyperlink" Target="http://www.digikey.com/product-detail/en/bourns-inc/MF-USMF110-2/MF-USMF110-2CT-ND/1014924" TargetMode="External"/><Relationship Id="rId149" Type="http://schemas.openxmlformats.org/officeDocument/2006/relationships/hyperlink" Target="http://www.newark.com/webapp/wcs/stores/servlet/Search?catalogId=15003&amp;langId=-1&amp;storeId=10194&amp;gs=true&amp;st=MF-USMF110-2%20" TargetMode="External"/><Relationship Id="rId150" Type="http://schemas.openxmlformats.org/officeDocument/2006/relationships/hyperlink" Target="http://www.digikey.com/product-detail/en/bourns-inc/MF-USMF110-2/MF-USMF110-2CT-ND/1014924" TargetMode="External"/><Relationship Id="rId151" Type="http://schemas.openxmlformats.org/officeDocument/2006/relationships/hyperlink" Target="http://www.newark.com/webapp/wcs/stores/servlet/Search?catalogId=15003&amp;langId=-1&amp;storeId=10194&amp;gs=true&amp;st=MF-USMF110-2%20" TargetMode="External"/><Relationship Id="rId152" Type="http://schemas.openxmlformats.org/officeDocument/2006/relationships/hyperlink" Target="http://www.digikey.com/product-detail/en/kemet/C0603C105K9PACTU/399-7848-1-ND/3471571" TargetMode="External"/><Relationship Id="rId153" Type="http://schemas.openxmlformats.org/officeDocument/2006/relationships/hyperlink" Target="http://www.newark.com/kemet/c0603c105k9pactu/mlcc-capacitor-1uf-6-3v-x5r-10/dp/73H4095" TargetMode="External"/><Relationship Id="rId154" Type="http://schemas.openxmlformats.org/officeDocument/2006/relationships/hyperlink" Target="http://www.digikey.com/product-detail/en/microchip-technology/LAN8740A-EN/LAN8740A-EN-ND/4079780" TargetMode="External"/><Relationship Id="rId155" Type="http://schemas.openxmlformats.org/officeDocument/2006/relationships/hyperlink" Target="http://www.newark.com/webapp/wcs/stores/servlet/Search?catalogId=15003&amp;langId=-1&amp;storeId=10194&amp;gs=true&amp;st=LAN8740A-EN%20" TargetMode="External"/><Relationship Id="rId156" Type="http://schemas.openxmlformats.org/officeDocument/2006/relationships/hyperlink" Target="http://www.digikey.com/scripts/DkSearch/dksus.dll?WT.z_header=search_go&amp;lang=en&amp;keywords=PS2805C-4-A%20" TargetMode="External"/><Relationship Id="rId157" Type="http://schemas.openxmlformats.org/officeDocument/2006/relationships/hyperlink" Target="http://www.digikey.com/product-detail/en/yageo/RC0603FR-074K7L/311-4.70KHRCT-ND/730159" TargetMode="External"/><Relationship Id="rId158" Type="http://schemas.openxmlformats.org/officeDocument/2006/relationships/hyperlink" Target="http://www.newark.com/yageo/rc0603fr-074k7l/res-thick-film-4k7-1-0-1w-0603/dp/68R0092" TargetMode="External"/><Relationship Id="rId159" Type="http://schemas.openxmlformats.org/officeDocument/2006/relationships/hyperlink" Target="http://www.digikey.com/product-detail/en/yageo/RC0603FR-074K7L/311-4.70KHRCT-ND/730159" TargetMode="External"/><Relationship Id="rId160" Type="http://schemas.openxmlformats.org/officeDocument/2006/relationships/hyperlink" Target="http://www.newark.com/yageo/rc0603fr-074k7l/res-thick-film-4k7-1-0-1w-0603/dp/68R0092" TargetMode="External"/><Relationship Id="rId161" Type="http://schemas.openxmlformats.org/officeDocument/2006/relationships/hyperlink" Target="http://www.digikey.com/product-detail/en/hirose-electric-co-ltd/ZX62-B-5PA(11)/H11634TR-ND/1993367" TargetMode="External"/><Relationship Id="rId162" Type="http://schemas.openxmlformats.org/officeDocument/2006/relationships/hyperlink" Target="http://www.digikey.com/product-detail/en/hirose-electric-co-ltd/ZX62-AB-5PA(11)/H11635TR-ND/1993368" TargetMode="External"/><Relationship Id="rId163" Type="http://schemas.openxmlformats.org/officeDocument/2006/relationships/hyperlink" Target="http://www.newark.com/te-connectivity-amp/1981584-1/micro-usb-2-0-type-ab-receptacle/dp/51X1932?rpsku=rel3%3AZX62AB5PA11" TargetMode="External"/><Relationship Id="rId164" Type="http://schemas.openxmlformats.org/officeDocument/2006/relationships/hyperlink" Target="http://www.digikey.com/product-detail/en/panasonic-electronic-components/ERA-3AEB2370V/P237DBCT-ND/3075875" TargetMode="External"/><Relationship Id="rId165" Type="http://schemas.openxmlformats.org/officeDocument/2006/relationships/hyperlink" Target="http://www.newark.com/webapp/wcs/stores/servlet/Search?catalogId=15003&amp;langId=-1&amp;storeId=10194&amp;gs=true&amp;st=ERA-3AEB2370V%20%20" TargetMode="External"/><Relationship Id="rId166" Type="http://schemas.openxmlformats.org/officeDocument/2006/relationships/hyperlink" Target="http://www.digikey.com/product-detail/en/everlight-electronics-co-ltd/QTLP600C7TR/1080-1400-1-ND/2676134" TargetMode="External"/><Relationship Id="rId167" Type="http://schemas.openxmlformats.org/officeDocument/2006/relationships/hyperlink" Target="http://www.digikey.com/product-detail/en/texas-instruments/SN65HVD230DR/296-11654-1-ND/404366" TargetMode="External"/><Relationship Id="rId168" Type="http://schemas.openxmlformats.org/officeDocument/2006/relationships/hyperlink" Target="http://www.newark.com/texas-instruments/sn65hvd230dr/can-transceiver-1mbps-1-1-3-3v/dp/75C7745" TargetMode="External"/><Relationship Id="rId169" Type="http://schemas.openxmlformats.org/officeDocument/2006/relationships/hyperlink" Target="http://www.digikey.com/product-detail/en/microchip-technology/MCP1416T-E-OT/MCP1416T-E-OTCT-ND/1963940" TargetMode="External"/><Relationship Id="rId170" Type="http://schemas.openxmlformats.org/officeDocument/2006/relationships/hyperlink" Target="http://www.newark.com/microchip/mcp1416t-e-ot/mosfet-driver-low-side-sot-23/dp/77M2548" TargetMode="External"/><Relationship Id="rId171" Type="http://schemas.openxmlformats.org/officeDocument/2006/relationships/hyperlink" Target="http://www.digikey.com/product-detail/en/microchip-technology/MCP9700AT-E-TT/MCP9700AT-E-TTCT-ND/3622388" TargetMode="External"/><Relationship Id="rId172" Type="http://schemas.openxmlformats.org/officeDocument/2006/relationships/hyperlink" Target="http://www.newark.com/microchip/mcp9700at-e-tt/linear-active-thermistor-2-c-sot/dp/84R5199" TargetMode="External"/><Relationship Id="rId173" Type="http://schemas.openxmlformats.org/officeDocument/2006/relationships/hyperlink" Target="http://www.digikey.com/product-detail/en/vishay-semiconductor-diodes-division/P6SMB33CA-E3-52/P6SMB33CA-E3-52GICT-ND/3306509" TargetMode="External"/><Relationship Id="rId174" Type="http://schemas.openxmlformats.org/officeDocument/2006/relationships/hyperlink" Target="http://www.newark.com/webapp/wcs/stores/servlet/Search?catalogId=15003&amp;langId=-1&amp;storeId=10194&amp;gs=true&amp;st=P6SMB33CA-E3%2F52%20" TargetMode="External"/><Relationship Id="rId175" Type="http://schemas.openxmlformats.org/officeDocument/2006/relationships/hyperlink" Target="http://www.digikey.com/product-detail/en/kemet/T491A106K006AT/399-3683-1-ND/819008" TargetMode="External"/><Relationship Id="rId176" Type="http://schemas.openxmlformats.org/officeDocument/2006/relationships/hyperlink" Target="http://www.newark.com/webapp/wcs/stores/servlet/Search?catalogId=15003&amp;langId=-1&amp;storeId=10194&amp;gs=true&amp;st=T491A106K006AT7280%20" TargetMode="External"/><Relationship Id="rId177" Type="http://schemas.openxmlformats.org/officeDocument/2006/relationships/hyperlink" Target="http://www.digikey.com/product-detail/en/microchip-technology/24AA1025T-I-SN/24AA1025T-I-SNCT-ND/2332859" TargetMode="External"/><Relationship Id="rId178" Type="http://schemas.openxmlformats.org/officeDocument/2006/relationships/hyperlink" Target="http://www.newark.com/microchip/24aa1025t-i-sn/serial-eeprom-1mbit-400khz-soic/dp/86W6591" TargetMode="External"/><Relationship Id="rId179" Type="http://schemas.openxmlformats.org/officeDocument/2006/relationships/hyperlink" Target="http://www.digikey.com/product-detail/en/on-semiconductor/BC817-40LT1G/BC817-40LT1GOSCT-ND/917830" TargetMode="External"/><Relationship Id="rId180" Type="http://schemas.openxmlformats.org/officeDocument/2006/relationships/hyperlink" Target="http://www.newark.com/on-semiconductor/bc817-40lt3g/bipolar-transistor-npn-45v-full/dp/88H4563" TargetMode="External"/><Relationship Id="rId181" Type="http://schemas.openxmlformats.org/officeDocument/2006/relationships/hyperlink" Target="http://www.digikey.com/product-detail/en/yageo/RC0603JR-0710KL/311-10KGRCT-ND/729647" TargetMode="External"/><Relationship Id="rId182" Type="http://schemas.openxmlformats.org/officeDocument/2006/relationships/hyperlink" Target="http://www.newark.com/yageo/rc0603jr-0710kl/res-thick-film-10k-5-0-1w-0603/dp/68R0144" TargetMode="External"/><Relationship Id="rId183" Type="http://schemas.openxmlformats.org/officeDocument/2006/relationships/hyperlink" Target="http://www.digikey.com/product-detail/en/yageo/RC0603JR-0710KL/311-10KGRCT-ND/729647" TargetMode="External"/><Relationship Id="rId184" Type="http://schemas.openxmlformats.org/officeDocument/2006/relationships/hyperlink" Target="http://www.newark.com/yageo/rc0603jr-0710kl/res-thick-film-10k-5-0-1w-0603/dp/68R0144" TargetMode="External"/><Relationship Id="rId185" Type="http://schemas.openxmlformats.org/officeDocument/2006/relationships/hyperlink" Target="http://www.digikey.com/product-detail/en/yageo/RC0603JR-0710KL/311-10KGRCT-ND/729647" TargetMode="External"/><Relationship Id="rId186" Type="http://schemas.openxmlformats.org/officeDocument/2006/relationships/hyperlink" Target="http://www.newark.com/yageo/rc0603jr-0710kl/res-thick-film-10k-5-0-1w-0603/dp/68R0144" TargetMode="External"/><Relationship Id="rId187" Type="http://schemas.openxmlformats.org/officeDocument/2006/relationships/hyperlink" Target="http://www.digikey.com/product-detail/en/on-semiconductor/BAV199LT1G/BAV199LT1GOSCT-ND/917816" TargetMode="External"/><Relationship Id="rId188" Type="http://schemas.openxmlformats.org/officeDocument/2006/relationships/hyperlink" Target="http://www.newark.com/on-semiconductor/bav199lt1g/diode-switching-70v-sot-23/dp/98H0500" TargetMode="External"/><Relationship Id="rId189" Type="http://schemas.openxmlformats.org/officeDocument/2006/relationships/hyperlink" Target="http://www.digikey.com/product-detail/en/yageo/RC0603JR-0710KL/311-10KGRCT-ND/729647" TargetMode="External"/><Relationship Id="rId190" Type="http://schemas.openxmlformats.org/officeDocument/2006/relationships/hyperlink" Target="http://www.newark.com/yageo/rc0603jr-0710kl/res-thick-film-10k-5-0-1w-0603/dp/68R0144" TargetMode="External"/><Relationship Id="rId191" Type="http://schemas.openxmlformats.org/officeDocument/2006/relationships/hyperlink" Target="http://www.digikey.com/product-detail/en/panasonic-electronic-components/ERJ-8GEYJ332V/P3.3KECT-ND/203317" TargetMode="External"/><Relationship Id="rId192" Type="http://schemas.openxmlformats.org/officeDocument/2006/relationships/hyperlink" Target="http://www.newark.com/panasonic-electronic-components/erj-8geyj332v/res-thick-film-3k3-5-0-25w-1206/dp/65T8932" TargetMode="External"/><Relationship Id="rId193" Type="http://schemas.openxmlformats.org/officeDocument/2006/relationships/hyperlink" Target="http://www.digikey.com/product-detail/en/bourns-inc/MF-USMF110-2/MF-USMF110-2CT-ND/1014924" TargetMode="External"/><Relationship Id="rId194" Type="http://schemas.openxmlformats.org/officeDocument/2006/relationships/hyperlink" Target="http://www.newark.com/webapp/wcs/stores/servlet/Search?catalogId=15003&amp;langId=-1&amp;storeId=10194&amp;gs=true&amp;st=MF-USMF110-2%20" TargetMode="External"/><Relationship Id="rId195" Type="http://schemas.openxmlformats.org/officeDocument/2006/relationships/hyperlink" Target="http://www.digikey.com/product-detail/en/kemet/T491A106K006AT/399-3683-1-ND/819008" TargetMode="External"/><Relationship Id="rId196" Type="http://schemas.openxmlformats.org/officeDocument/2006/relationships/hyperlink" Target="http://www.newark.com/webapp/wcs/stores/servlet/Search?catalogId=15003&amp;langId=-1&amp;storeId=10194&amp;gs=true&amp;st=T491A106K006AT7280%20" TargetMode="External"/><Relationship Id="rId197" Type="http://schemas.openxmlformats.org/officeDocument/2006/relationships/hyperlink" Target="http://www.digikey.com/product-detail/en/kemet/T491A106K006AT/399-3683-1-ND/819008" TargetMode="External"/><Relationship Id="rId198" Type="http://schemas.openxmlformats.org/officeDocument/2006/relationships/hyperlink" Target="http://www.newark.com/kemet/t491a106k006at/tantalum-capacitor-10uf-6v-4-ohm/dp/57K1634" TargetMode="External"/><Relationship Id="rId199" Type="http://schemas.openxmlformats.org/officeDocument/2006/relationships/hyperlink" Target="http://www.digikey.com/product-detail/en/yageo/RC0603JR-074K7L/311-4.7KGRCT-ND/729732" TargetMode="External"/><Relationship Id="rId200" Type="http://schemas.openxmlformats.org/officeDocument/2006/relationships/hyperlink" Target="http://www.newark.com/yageo/rc0603jr-074k7l/res-thick-film-4k7-5-0-1w-0603/dp/68R0188" TargetMode="External"/><Relationship Id="rId201" Type="http://schemas.openxmlformats.org/officeDocument/2006/relationships/hyperlink" Target="http://www.digikey.com/product-detail/en/nxp-semiconductors/PRTR5V0U2X,215/568-4140-1-ND/1589981" TargetMode="External"/><Relationship Id="rId202" Type="http://schemas.openxmlformats.org/officeDocument/2006/relationships/hyperlink" Target="http://www.newark.com/nxp/prtr5v0u2x-215/tvs-diode/dp/75R4845" TargetMode="External"/><Relationship Id="rId203" Type="http://schemas.openxmlformats.org/officeDocument/2006/relationships/hyperlink" Target="http://www.digikey.com/product-detail/en/bourns-inc/SRF2012-900Y/SRF2012-900YTR-ND/1969675" TargetMode="External"/><Relationship Id="rId204" Type="http://schemas.openxmlformats.org/officeDocument/2006/relationships/hyperlink" Target="http://www.newark.com/webapp/wcs/stores/servlet/Search?catalogId=15003&amp;langId=-1&amp;storeId=10194&amp;gs=true&amp;st=SRF2012-900Y%20" TargetMode="External"/><Relationship Id="rId205" Type="http://schemas.openxmlformats.org/officeDocument/2006/relationships/hyperlink" Target="http://www.digikey.com/product-detail/en/yageo/RC0603JR-07270RL/311-270GRCT-ND/729696" TargetMode="External"/><Relationship Id="rId206" Type="http://schemas.openxmlformats.org/officeDocument/2006/relationships/hyperlink" Target="http://www.newark.com/yageo/rc0603jr-07270rl/res-thick-film-270r-5-0-1w-0603/dp/68R0174" TargetMode="External"/><Relationship Id="rId207" Type="http://schemas.openxmlformats.org/officeDocument/2006/relationships/hyperlink" Target="http://www.digikey.com/product-detail/en/on-semiconductor/BAV199LT1G/BAV199LT1GOSCT-ND/917816" TargetMode="External"/><Relationship Id="rId208" Type="http://schemas.openxmlformats.org/officeDocument/2006/relationships/hyperlink" Target="http://www.newark.com/on-semiconductor/bav199lt1g/diode-switching-70v-sot-23/dp/98H0500" TargetMode="External"/><Relationship Id="rId209" Type="http://schemas.openxmlformats.org/officeDocument/2006/relationships/hyperlink" Target="http://www.digikey.com/product-detail/en/on-semiconductor/LM358DG/LM358DGOS-ND/1476852" TargetMode="External"/><Relationship Id="rId210" Type="http://schemas.openxmlformats.org/officeDocument/2006/relationships/hyperlink" Target="http://www.newark.com/on-semiconductor/lm358dg/op-amp-1mhz-0-6v-us-soic-8/dp/45J0748" TargetMode="External"/><Relationship Id="rId211" Type="http://schemas.openxmlformats.org/officeDocument/2006/relationships/hyperlink" Target="http://www.digikey.com/product-detail/en/yageo/RC0603FR-0749R9L/311-49.9HRCT-ND/730211" TargetMode="External"/><Relationship Id="rId212" Type="http://schemas.openxmlformats.org/officeDocument/2006/relationships/hyperlink" Target="http://www.newark.com/yageo/rc0603fr-0749r9l/res-thick-film-49r9-1-0-1w-0603/dp/68R0100" TargetMode="External"/><Relationship Id="rId213" Type="http://schemas.openxmlformats.org/officeDocument/2006/relationships/hyperlink" Target="http://www.digikey.com/scripts/DkSearch/dksus.dll?WT.z_header=search_go&amp;lang=en&amp;keywords=OSTTC022162%20" TargetMode="External"/><Relationship Id="rId214" Type="http://schemas.openxmlformats.org/officeDocument/2006/relationships/hyperlink" Target="http://www.newark.com/webapp/wcs/stores/servlet/Search?catalogId=15003&amp;langId=-1&amp;storeId=10194&amp;gs=true&amp;st=OSTTC022162%20" TargetMode="External"/><Relationship Id="rId215" Type="http://schemas.openxmlformats.org/officeDocument/2006/relationships/hyperlink" Target="http://www.digikey.com/scripts/DkSearch/dksus.dll?WT.z_header=search_go&amp;lang=en&amp;keywords=%2006031A120CAT2A%20" TargetMode="External"/><Relationship Id="rId216" Type="http://schemas.openxmlformats.org/officeDocument/2006/relationships/hyperlink" Target="http://www.digikey.com/product-detail/en/nxp-semiconductors/PBSS5240XF/568-10522-1-ND/4386107" TargetMode="External"/><Relationship Id="rId217" Type="http://schemas.openxmlformats.org/officeDocument/2006/relationships/hyperlink" Target="http://www.newark.com/webapp/wcs/stores/servlet/Search?catalogId=15003&amp;langId=-1&amp;storeId=10194&amp;gs=true&amp;st=PBSS5240XF%20" TargetMode="External"/><Relationship Id="rId218" Type="http://schemas.openxmlformats.org/officeDocument/2006/relationships/hyperlink" Target="http://www.digikey.com/product-detail/en/microchip-technology/MIC2025-2YM/576-1058-ND/771527" TargetMode="External"/><Relationship Id="rId219" Type="http://schemas.openxmlformats.org/officeDocument/2006/relationships/hyperlink" Target="http://www.newark.com/webapp/wcs/stores/servlet/Search?catalogId=15003&amp;langId=-1&amp;storeId=10194&amp;gs=true&amp;st=MIC2025-2YM%20%20" TargetMode="External"/><Relationship Id="rId220" Type="http://schemas.openxmlformats.org/officeDocument/2006/relationships/hyperlink" Target="http://www.digikey.com/product-detail/en/yageo/RC0603FR-0712K1L/311-12.1KHRCT-ND/729862" TargetMode="External"/><Relationship Id="rId221" Type="http://schemas.openxmlformats.org/officeDocument/2006/relationships/hyperlink" Target="http://www.newark.com/yageo/rc0603fr-0712k1l/res-thick-film-12k1-1-0-1w-0603/dp/66R2021" TargetMode="External"/><Relationship Id="rId222" Type="http://schemas.openxmlformats.org/officeDocument/2006/relationships/hyperlink" Target="http://www.digikey.com/product-detail/en/ftdi-future-technology-devices-international-ltd/FT2232HL-REEL/768-1024-1-ND/1986057" TargetMode="External"/><Relationship Id="rId223" Type="http://schemas.openxmlformats.org/officeDocument/2006/relationships/hyperlink" Target="http://www.newark.com/webapp/wcs/stores/servlet/Search?catalogId=15003&amp;langId=-1&amp;storeId=10194&amp;gs=true&amp;st=FT2232HL-REEL%20" TargetMode="External"/><Relationship Id="rId224" Type="http://schemas.openxmlformats.org/officeDocument/2006/relationships/hyperlink" Target="http://www.digikey.com/product-detail/en/fairchild-semiconductor/NDS7002A/NDS7002ACT-ND/244296" TargetMode="External"/><Relationship Id="rId225" Type="http://schemas.openxmlformats.org/officeDocument/2006/relationships/hyperlink" Target="http://www.newark.com/fairchild-semiconductor/nds7002a/n-channel-mosfet-60v-280ma-sot/dp/58K9482" TargetMode="External"/><Relationship Id="rId226" Type="http://schemas.openxmlformats.org/officeDocument/2006/relationships/hyperlink" Target="http://www.digikey.com/product-detail/en/kemet/CBR02C120F3GAC/399-8604-1-ND/3479361" TargetMode="External"/><Relationship Id="rId227" Type="http://schemas.openxmlformats.org/officeDocument/2006/relationships/hyperlink" Target="http://www.newark.com/webapp/wcs/stores/servlet/Search?catalogId=15003&amp;langId=-1&amp;storeId=10194&amp;gs=true&amp;st=CBR02C120F3GAC%20%20" TargetMode="External"/><Relationship Id="rId228" Type="http://schemas.openxmlformats.org/officeDocument/2006/relationships/hyperlink" Target="http://www.digikey.com/product-detail/en/bourns-inc/MF-SM300-2/MF-SM300-2CT-ND/1232787" TargetMode="External"/><Relationship Id="rId229" Type="http://schemas.openxmlformats.org/officeDocument/2006/relationships/hyperlink" Target="http://www.newark.com/bourns/sm300-2/fuse-ptc-reset-6v-3a-smd/dp/75K7700" TargetMode="External"/><Relationship Id="rId230" Type="http://schemas.openxmlformats.org/officeDocument/2006/relationships/hyperlink" Target="http://www.digikey.com/product-detail/en/yageo/RC0603FR-0759RL/311-59.0HRCT-ND/730259" TargetMode="External"/><Relationship Id="rId231" Type="http://schemas.openxmlformats.org/officeDocument/2006/relationships/hyperlink" Target="http://www.newark.com/vishay/crcw060359r0fkea/res-thick-film-59r-1-0-1w-0603/dp/42K3971" TargetMode="External"/><Relationship Id="rId232" Type="http://schemas.openxmlformats.org/officeDocument/2006/relationships/hyperlink" Target="http://www.digikey.com/product-detail/en/yageo/RC0603JR-0733RL/311-33GRCT-ND/729718" TargetMode="External"/><Relationship Id="rId233" Type="http://schemas.openxmlformats.org/officeDocument/2006/relationships/hyperlink" Target="http://www.newark.com/yageo/rc0603jr-0733rl/res-thick-film-33r-5-0-1w-0603/dp/68R0182" TargetMode="External"/><Relationship Id="rId234" Type="http://schemas.openxmlformats.org/officeDocument/2006/relationships/hyperlink" Target="http://www.digikey.com/product-detail/en/yageo/RC0603JR-0733RL/311-33GRCT-ND/729718" TargetMode="External"/><Relationship Id="rId235" Type="http://schemas.openxmlformats.org/officeDocument/2006/relationships/hyperlink" Target="http://www.newark.com/yageo/rc0603jr-0733rl/res-thick-film-33r-5-0-1w-0603/dp/68R0182" TargetMode="External"/><Relationship Id="rId236" Type="http://schemas.openxmlformats.org/officeDocument/2006/relationships/hyperlink" Target="http://www.digikey.com/product-detail/en/tdk-corporation/MMZ1608B601CTAH0/445-2166-1-ND/765197" TargetMode="External"/><Relationship Id="rId237" Type="http://schemas.openxmlformats.org/officeDocument/2006/relationships/hyperlink" Target="http://www.newark.com/tdk/mmz1608b601ctah0/ferrite-bead-600-ohm-500ma-0603/dp/89R3077" TargetMode="External"/><Relationship Id="rId238" Type="http://schemas.openxmlformats.org/officeDocument/2006/relationships/hyperlink" Target="http://www.digikey.com/product-detail/en/tdk-corporation/MMZ1608B601CTAH0/445-2166-1-ND/765197" TargetMode="External"/><Relationship Id="rId239" Type="http://schemas.openxmlformats.org/officeDocument/2006/relationships/hyperlink" Target="http://www.newark.com/tdk/mmz1608b601ctah0/ferrite-bead-600-ohm-500ma-0603/dp/89R3077" TargetMode="External"/><Relationship Id="rId240" Type="http://schemas.openxmlformats.org/officeDocument/2006/relationships/hyperlink" Target="http://www.digikey.com/product-detail/en/tdk-corporation/MMZ1608B601CTAH0/445-2166-1-ND/765197" TargetMode="External"/><Relationship Id="rId241" Type="http://schemas.openxmlformats.org/officeDocument/2006/relationships/hyperlink" Target="http://www.newark.com/tdk/mmz1608b601ctah0/ferrite-bead-600-ohm-500ma-0603/dp/89R3077" TargetMode="External"/><Relationship Id="rId242" Type="http://schemas.openxmlformats.org/officeDocument/2006/relationships/hyperlink" Target="http://www.digikey.com/product-detail/en/yageo/RC0603JR-07100KL/311-100KGRCT-ND/729645" TargetMode="External"/><Relationship Id="rId243" Type="http://schemas.openxmlformats.org/officeDocument/2006/relationships/hyperlink" Target="http://www.newark.com/yageo/rc0603jr-07100kl/res-thick-film-100k-5-0-1w-0603/dp/68R0147" TargetMode="External"/><Relationship Id="rId244" Type="http://schemas.openxmlformats.org/officeDocument/2006/relationships/hyperlink" Target="http://www.digikey.com/product-detail/en/yageo/RC0603JR-07100KL/311-100KGRCT-ND/729645" TargetMode="External"/><Relationship Id="rId245" Type="http://schemas.openxmlformats.org/officeDocument/2006/relationships/hyperlink" Target="http://www.newark.com/yageo/rc0603jr-07100kl/res-thick-film-100k-5-0-1w-0603/dp/68R0147" TargetMode="External"/><Relationship Id="rId246" Type="http://schemas.openxmlformats.org/officeDocument/2006/relationships/hyperlink" Target="http://www.digikey.com/scripts/DkSearch/dksus.dll?WT.z_header=search_go&amp;lang=en&amp;keywords=PIC32MZ2048ECH144-I%2FPL%20" TargetMode="External"/><Relationship Id="rId247" Type="http://schemas.openxmlformats.org/officeDocument/2006/relationships/hyperlink" Target="http://www.newark.com/webapp/wcs/stores/servlet/Search?catalogId=15003&amp;langId=-1&amp;storeId=10194&amp;gs=true&amp;st=PIC32MZ2048ECH144-I%2FPL%20" TargetMode="External"/><Relationship Id="rId248" Type="http://schemas.openxmlformats.org/officeDocument/2006/relationships/hyperlink" Target="http://www.digikey.com/product-detail/en/bourns-inc/MF-MSMF110-2/MF-MSMF110-2CT-ND/662845" TargetMode="External"/><Relationship Id="rId249" Type="http://schemas.openxmlformats.org/officeDocument/2006/relationships/hyperlink" Target="http://www.newark.com/bourns/msmf110-2/fuse-ptc-reset-6v-1-1a-1812/dp/02J2721" TargetMode="External"/><Relationship Id="rId250" Type="http://schemas.openxmlformats.org/officeDocument/2006/relationships/hyperlink" Target="http://www.digikey.com/product-detail/en/yageo/RC0603JR-071KL/311-1.0KGRCT-ND/729624" TargetMode="External"/><Relationship Id="rId251" Type="http://schemas.openxmlformats.org/officeDocument/2006/relationships/hyperlink" Target="http://www.newark.com/yageo/rc0603jr-071kl/res-thick-film-1k-5-0-1w-0603/dp/68R0137" TargetMode="External"/><Relationship Id="rId252" Type="http://schemas.openxmlformats.org/officeDocument/2006/relationships/hyperlink" Target="http://www.digikey.com/product-detail/en/bourns-inc/MF-USMF020-2/MF-USMF020-2CT-ND/1014928" TargetMode="External"/><Relationship Id="rId253" Type="http://schemas.openxmlformats.org/officeDocument/2006/relationships/hyperlink" Target="http://www.newark.com/bourns/usmf020-2/fuse-ptc-reset-30v-200ma-1210/dp/88K5712" TargetMode="External"/><Relationship Id="rId254" Type="http://schemas.openxmlformats.org/officeDocument/2006/relationships/hyperlink" Target="http://www.digikey.com/product-detail/en/kemet/C0603C104K5RACTU/399-5089-1-ND/1465623" TargetMode="External"/><Relationship Id="rId255" Type="http://schemas.openxmlformats.org/officeDocument/2006/relationships/hyperlink" Target="http://www.newark.com/kemet/c0603c104k5ractu/ceramic-capacitor-0-1uf-50v-x7r/dp/72J5992" TargetMode="External"/><Relationship Id="rId256" Type="http://schemas.openxmlformats.org/officeDocument/2006/relationships/hyperlink" Target="http://www.digikey.com/product-detail/en/kemet/C0603C104K5RACTU/399-5089-1-ND/1465623" TargetMode="External"/><Relationship Id="rId257" Type="http://schemas.openxmlformats.org/officeDocument/2006/relationships/hyperlink" Target="http://www.newark.com/kemet/c0603c104k5ractu/ceramic-capacitor-0-1uf-50v-x7r/dp/72J5992" TargetMode="External"/><Relationship Id="rId258" Type="http://schemas.openxmlformats.org/officeDocument/2006/relationships/hyperlink" Target="http://www.digikey.com/product-detail/en/yageo/RC0603JR-07330RL/311-330GRCT-ND/729716" TargetMode="External"/><Relationship Id="rId259" Type="http://schemas.openxmlformats.org/officeDocument/2006/relationships/hyperlink" Target="http://www.newark.com/yageo/rc0603jr-07330rl/res-thick-film-330r-5-0-1w-0603/dp/68R0184" TargetMode="External"/><Relationship Id="rId260" Type="http://schemas.openxmlformats.org/officeDocument/2006/relationships/hyperlink" Target="http://www.digikey.com/scripts/DkSearch/dksus.dll?WT.z_header=search_go&amp;lang=en&amp;keywords=1461353-2%20" TargetMode="External"/><Relationship Id="rId261" Type="http://schemas.openxmlformats.org/officeDocument/2006/relationships/hyperlink" Target="http://www.newark.com/webapp/wcs/stores/servlet/Search?catalogId=15003&amp;langId=-1&amp;storeId=10194&amp;gs=true&amp;st=1461353-2%20" TargetMode="External"/><Relationship Id="rId262" Type="http://schemas.openxmlformats.org/officeDocument/2006/relationships/hyperlink" Target="http://www.digikey.com/product-detail/en/yageo/RC0603JR-070RL/311-0.0GRCT-ND/729622" TargetMode="External"/><Relationship Id="rId263" Type="http://schemas.openxmlformats.org/officeDocument/2006/relationships/hyperlink" Target="http://www.newark.com/yageo/rc0603jr-070rl/res-thick-film-0r-0-1w-0603/dp/68R0136" TargetMode="External"/><Relationship Id="rId264" Type="http://schemas.openxmlformats.org/officeDocument/2006/relationships/hyperlink" Target="http://www.digikey.com/product-detail/en/yageo/RC0603JR-070RL/311-0.0GRCT-ND/729622" TargetMode="External"/><Relationship Id="rId265" Type="http://schemas.openxmlformats.org/officeDocument/2006/relationships/hyperlink" Target="http://www.newark.com/yageo/rc0603jr-070rl/res-thick-film-0r-0-1w-0603/dp/68R0136" TargetMode="External"/><Relationship Id="rId266" Type="http://schemas.openxmlformats.org/officeDocument/2006/relationships/hyperlink" Target="http://www.digikey.com/product-detail/en/yageo/RC0603FR-079K31L/311-9.31KHRCT-ND/730367" TargetMode="External"/><Relationship Id="rId267" Type="http://schemas.openxmlformats.org/officeDocument/2006/relationships/hyperlink" Target="http://www.digikey.com/product-detail/en/fairchild-semiconductor/LL4148/LL4148FSCT-ND/1923118" TargetMode="External"/><Relationship Id="rId268" Type="http://schemas.openxmlformats.org/officeDocument/2006/relationships/hyperlink" Target="http://www.newark.com/fairchild-semiconductor/ll4148/diode-small-signal-100v-minimelf/dp/05W3302" TargetMode="External"/><Relationship Id="rId269" Type="http://schemas.openxmlformats.org/officeDocument/2006/relationships/hyperlink" Target="http://www.digikey.com/product-detail/en/bourns-inc/MF-MSMF030-2/MF-MSMF030-2CT-ND/662841" TargetMode="External"/><Relationship Id="rId270" Type="http://schemas.openxmlformats.org/officeDocument/2006/relationships/hyperlink" Target="http://www.newark.com/bourns/msmf030-2/fuse-ptc-reset-30v-300ma-1812/dp/02J2717" TargetMode="External"/><Relationship Id="rId271" Type="http://schemas.openxmlformats.org/officeDocument/2006/relationships/hyperlink" Target="http://www.digikey.com/product-detail/en/murata-electronics-north-america/BLM18BD470SN1D/490-5211-1-ND/1948387" TargetMode="External"/><Relationship Id="rId272" Type="http://schemas.openxmlformats.org/officeDocument/2006/relationships/hyperlink" Target="http://www.digikey.com/product-detail/en/kemet/C0603C103K5RACTU/399-1091-1-ND/411366" TargetMode="External"/><Relationship Id="rId273" Type="http://schemas.openxmlformats.org/officeDocument/2006/relationships/hyperlink" Target="http://www.newark.com/kemet/c0603c103k5ractu/ceramic-capacitor-0-01uf-50v-x7r/dp/30C5334" TargetMode="External"/><Relationship Id="rId274" Type="http://schemas.openxmlformats.org/officeDocument/2006/relationships/hyperlink" Target="http://www.digikey.com/product-detail/en/bourns-inc/SRN1060-470M/SRN1060-470MCT-ND/3821546" TargetMode="External"/><Relationship Id="rId275" Type="http://schemas.openxmlformats.org/officeDocument/2006/relationships/hyperlink" Target="http://www.newark.com/bourns/srn1060-470m/inductor-semi-shielded-47uh-2/dp/54W0036" TargetMode="External"/><Relationship Id="rId276" Type="http://schemas.openxmlformats.org/officeDocument/2006/relationships/hyperlink" Target="http://www.digikey.com/product-detail/en/abracon-llc/ASDMB-24.000MHZ-LC-T/535-11728-1-ND/2809937" TargetMode="External"/><Relationship Id="rId277" Type="http://schemas.openxmlformats.org/officeDocument/2006/relationships/hyperlink" Target="http://www.newark.com/webapp/wcs/stores/servlet/Search?catalogId=15003&amp;langId=-1&amp;storeId=10194&amp;gs=true&amp;st=ASDMB-24.000MHZ-LC-T%20" TargetMode="External"/><Relationship Id="rId278" Type="http://schemas.openxmlformats.org/officeDocument/2006/relationships/hyperlink" Target="http://www.digikey.com/scripts/DkSearch/dksus.dll?WT.z_header=search_go&amp;lang=en&amp;keywords=OSTTC032162%20" TargetMode="External"/><Relationship Id="rId279" Type="http://schemas.openxmlformats.org/officeDocument/2006/relationships/hyperlink" Target="http://www.newark.com/webapp/wcs/stores/servlet/Search?catalogId=15003&amp;langId=-1&amp;storeId=10194&amp;gs=true&amp;st=OSTTC032162%20" TargetMode="External"/><Relationship Id="rId280" Type="http://schemas.openxmlformats.org/officeDocument/2006/relationships/hyperlink" Target="http://www.digikey.com/product-detail/en/yageo/RC0603FR-0712K4L/311-12.4KHRCT-ND/729864" TargetMode="External"/><Relationship Id="rId281" Type="http://schemas.openxmlformats.org/officeDocument/2006/relationships/hyperlink" Target="http://www.digikey.com/product-detail/en/everlight-electronics-co-ltd/QTLP600C7TR/1080-1400-1-ND/2676134" TargetMode="External"/><Relationship Id="rId282" Type="http://schemas.openxmlformats.org/officeDocument/2006/relationships/hyperlink" Target="http://www.digikey.com/product-detail/en/everlight-electronics-co-ltd/QTLP600C7TR/1080-1400-1-ND/2676134" TargetMode="External"/><Relationship Id="rId283" Type="http://schemas.openxmlformats.org/officeDocument/2006/relationships/hyperlink" Target="http://www.digikey.com/product-detail/en/on-semiconductor/P6SMB20CAT3G/P6SMB20CAT3GOSCT-ND/3462457" TargetMode="External"/><Relationship Id="rId284" Type="http://schemas.openxmlformats.org/officeDocument/2006/relationships/hyperlink" Target="http://www.newark.com/on-semiconductor/p6smb20cat3g/tvs-diode-600w-20v-smb/dp/26K5157" TargetMode="External"/><Relationship Id="rId285" Type="http://schemas.openxmlformats.org/officeDocument/2006/relationships/vmlDrawing" Target="../drawings/vmlDrawing1.vml"/><Relationship Id="rId28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25"/>
  <sheetViews>
    <sheetView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/>
    </sheetView>
  </sheetViews>
  <sheetFormatPr defaultRowHeight="15" outlineLevelCol="2"/>
  <cols>
    <col min="1" max="1" width="9.140625"/>
    <col min="2" max="2" width="9.140625"/>
    <col min="3" max="3" width="9.140625"/>
    <col min="4" max="4" width="9.140625"/>
    <col min="5" max="5" width="9.140625"/>
    <col min="6" max="6" width="9.140625"/>
    <col min="7" max="7" width="9.140625"/>
    <col min="8" max="8" width="9.140625"/>
    <col min="9" max="9" width="15.7109375" customWidth="1"/>
    <col min="10" max="10" width="9.140625" outlineLevel="1"/>
    <col min="11" max="11" width="9.140625" outlineLevel="2"/>
    <col min="12" max="12" width="9.140625" outlineLevel="2"/>
    <col min="13" max="13" width="15.7109375" customWidth="1"/>
    <col min="14" max="14" width="9.140625" outlineLevel="2"/>
    <col min="15" max="15" width="9.140625" outlineLevel="2"/>
    <col min="16" max="16" width="9.140625" outlineLevel="1"/>
    <col min="17" max="17" width="9.140625" outlineLevel="2"/>
    <col min="18" max="18" width="9.140625" outlineLevel="2"/>
    <col min="19" max="19" width="15.7109375" customWidth="1"/>
    <col min="20" max="20" width="9.140625" outlineLevel="2"/>
    <col min="21" max="21" width="9.140625" outlineLevel="2"/>
    <col min="22" max="22" width="9.140625" outlineLevel="1"/>
    <col min="23" max="23" width="9.140625" outlineLevel="2"/>
    <col min="24" max="24" width="9.140625" outlineLevel="2"/>
    <col min="25" max="25" width="15.7109375" customWidth="1"/>
    <col min="26" max="26" width="9.140625" outlineLevel="2"/>
    <col min="27" max="27" width="9.140625" outlineLevel="2"/>
  </cols>
  <sheetData>
    <row r="1" spans="1:27">
      <c r="H1" s="2" t="s">
        <v>467</v>
      </c>
      <c r="I1" s="2">
        <v>100</v>
      </c>
    </row>
    <row r="2" spans="1:27">
      <c r="H2" s="3" t="s">
        <v>468</v>
      </c>
      <c r="I2" s="4">
        <f>sum(I7:I165)</f>
        <v>0</v>
      </c>
      <c r="M2" s="4">
        <f>sum(M7:M165)</f>
        <v>0</v>
      </c>
      <c r="S2" s="4">
        <f>sum(S7:S165)</f>
        <v>0</v>
      </c>
      <c r="Y2" s="4">
        <f>sum(Y7:Y165)</f>
        <v>0</v>
      </c>
    </row>
    <row r="3" spans="1:27">
      <c r="H3" s="3" t="s">
        <v>469</v>
      </c>
      <c r="I3" s="5">
        <f>TotalCost/BoardQty</f>
        <v>0</v>
      </c>
    </row>
    <row r="5" spans="1:27">
      <c r="A5" s="6" t="s">
        <v>0</v>
      </c>
      <c r="B5" s="6"/>
      <c r="C5" s="6"/>
      <c r="D5" s="6"/>
      <c r="E5" s="6"/>
      <c r="F5" s="6"/>
      <c r="G5" s="6"/>
      <c r="H5" s="6"/>
      <c r="I5" s="6"/>
      <c r="J5" s="7" t="s">
        <v>470</v>
      </c>
      <c r="K5" s="7"/>
      <c r="L5" s="7"/>
      <c r="M5" s="7"/>
      <c r="N5" s="7"/>
      <c r="O5" s="7"/>
      <c r="P5" s="8" t="s">
        <v>567</v>
      </c>
      <c r="Q5" s="8"/>
      <c r="R5" s="8"/>
      <c r="S5" s="8"/>
      <c r="T5" s="8"/>
      <c r="U5" s="8"/>
      <c r="V5" s="9" t="s">
        <v>580</v>
      </c>
      <c r="W5" s="9"/>
      <c r="X5" s="9"/>
      <c r="Y5" s="9"/>
      <c r="Z5" s="9"/>
      <c r="AA5" s="9"/>
    </row>
    <row r="6" spans="1:27">
      <c r="A6" s="10" t="s">
        <v>6</v>
      </c>
      <c r="B6" s="10" t="s">
        <v>8</v>
      </c>
      <c r="C6" s="10" t="s">
        <v>9</v>
      </c>
      <c r="D6" s="10" t="s">
        <v>5</v>
      </c>
      <c r="E6" s="10" t="s">
        <v>4</v>
      </c>
      <c r="F6" s="10" t="s">
        <v>1</v>
      </c>
      <c r="G6" s="10" t="s">
        <v>7</v>
      </c>
      <c r="H6" s="10" t="s">
        <v>3</v>
      </c>
      <c r="I6" s="10" t="s">
        <v>2</v>
      </c>
      <c r="J6" s="10" t="s">
        <v>472</v>
      </c>
      <c r="K6" s="10" t="s">
        <v>473</v>
      </c>
      <c r="L6" s="10" t="s">
        <v>3</v>
      </c>
      <c r="M6" s="10" t="s">
        <v>2</v>
      </c>
      <c r="N6" s="10" t="s">
        <v>474</v>
      </c>
      <c r="O6" s="10" t="s">
        <v>471</v>
      </c>
      <c r="P6" s="10" t="s">
        <v>472</v>
      </c>
      <c r="Q6" s="10" t="s">
        <v>473</v>
      </c>
      <c r="R6" s="10" t="s">
        <v>3</v>
      </c>
      <c r="S6" s="10" t="s">
        <v>2</v>
      </c>
      <c r="T6" s="10" t="s">
        <v>474</v>
      </c>
      <c r="U6" s="10" t="s">
        <v>471</v>
      </c>
      <c r="V6" s="10" t="s">
        <v>472</v>
      </c>
      <c r="W6" s="10" t="s">
        <v>473</v>
      </c>
      <c r="X6" s="10" t="s">
        <v>3</v>
      </c>
      <c r="Y6" s="10" t="s">
        <v>2</v>
      </c>
      <c r="Z6" s="10" t="s">
        <v>474</v>
      </c>
      <c r="AA6" s="10" t="s">
        <v>471</v>
      </c>
    </row>
    <row r="7" spans="1:27">
      <c r="A7" t="s">
        <v>10</v>
      </c>
      <c r="B7" t="s">
        <v>13</v>
      </c>
      <c r="D7" t="s">
        <v>12</v>
      </c>
      <c r="F7" t="s">
        <v>11</v>
      </c>
      <c r="G7">
        <f>BoardQty*8</f>
        <v>0</v>
      </c>
      <c r="H7" s="11">
        <f>MINA(INDIRECT(ADDRESS(ROW(),COLUMN(newark_part_data)+2)),INDIRECT(ADDRESS(ROW(),COLUMN(digikey_part_data)+2)),INDIRECT(ADDRESS(ROW(),COLUMN(mouser_part_data)+2)))</f>
        <v>0</v>
      </c>
      <c r="I7" s="11">
        <f>iferror(G7*H7,"")</f>
        <v>0</v>
      </c>
      <c r="J7">
        <v>2541611</v>
      </c>
      <c r="L7" s="11">
        <f>iferror(lookup(if(K7="",G7,K7),{0,1,10,25,100,250,500,1000,2500,5000,10000,25000,50000,125000},{0.0,0.1,0.011,0.008,0.0044,0.00336,0.0027,0.00198,0.00172,0.00129,0.00112,0.00099,0.0009,0.00089}),"")</f>
        <v>0</v>
      </c>
      <c r="M7" s="11">
        <f>iferror(if(K7="",G7,K7)*L7,"")</f>
        <v>0</v>
      </c>
      <c r="N7" t="s">
        <v>476</v>
      </c>
      <c r="O7" s="12" t="s">
        <v>475</v>
      </c>
      <c r="P7">
        <v>157966</v>
      </c>
      <c r="R7" s="11">
        <f>iferror(lookup(if(Q7="",G7,Q7),{0,1,10,100,1000,5000,50000},{0.0,0.099,0.008,0.003,0.002,0.002,0.001}),"")</f>
        <v>0</v>
      </c>
      <c r="S7" s="11">
        <f>iferror(if(Q7="",G7,Q7)*R7,"")</f>
        <v>0</v>
      </c>
      <c r="T7" t="s">
        <v>568</v>
      </c>
      <c r="U7" s="12" t="s">
        <v>475</v>
      </c>
      <c r="V7">
        <v>9500</v>
      </c>
      <c r="X7" s="11">
        <f>iferror(lookup(if(W7="",G7,W7),{0,1,10,25,100,250,1000},{0.0,0.06,0.01,0.007,0.004,0.003,0.002}),"")</f>
        <v>0</v>
      </c>
      <c r="Y7" s="11">
        <f>iferror(if(W7="",G7,W7)*X7,"")</f>
        <v>0</v>
      </c>
      <c r="Z7" t="s">
        <v>581</v>
      </c>
      <c r="AA7" s="12" t="s">
        <v>475</v>
      </c>
    </row>
    <row r="8" spans="1:27">
      <c r="A8" t="s">
        <v>14</v>
      </c>
      <c r="B8" t="s">
        <v>17</v>
      </c>
      <c r="D8" t="s">
        <v>16</v>
      </c>
      <c r="F8" t="s">
        <v>15</v>
      </c>
      <c r="G8">
        <f>BoardQty*1</f>
        <v>0</v>
      </c>
      <c r="H8" s="11">
        <f>MINA(INDIRECT(ADDRESS(ROW(),COLUMN(newark_part_data)+2)),INDIRECT(ADDRESS(ROW(),COLUMN(digikey_part_data)+2)),INDIRECT(ADDRESS(ROW(),COLUMN(mouser_part_data)+2)))</f>
        <v>0</v>
      </c>
      <c r="I8" s="11">
        <f>iferror(G8*H8,"")</f>
        <v>0</v>
      </c>
      <c r="J8">
        <v>5923</v>
      </c>
      <c r="L8" s="11">
        <f>iferror(lookup(if(K8="",G8,K8),{0,1,10,100,500,1000,2500,5000,12500,25000,62500},{0.0,0.97,0.866,0.6755,0.5586,0.44175,0.399,0.37905,0.3648,0.3534,0.342}),"")</f>
        <v>0</v>
      </c>
      <c r="M8" s="11">
        <f>iferror(if(K8="",G8,K8)*L8,"")</f>
        <v>0</v>
      </c>
      <c r="N8" t="s">
        <v>477</v>
      </c>
      <c r="O8" s="12" t="s">
        <v>475</v>
      </c>
    </row>
    <row r="9" spans="1:27">
      <c r="A9" t="s">
        <v>18</v>
      </c>
      <c r="B9" t="s">
        <v>21</v>
      </c>
      <c r="D9" t="s">
        <v>20</v>
      </c>
      <c r="F9" t="s">
        <v>19</v>
      </c>
      <c r="G9">
        <f>BoardQty*1</f>
        <v>0</v>
      </c>
      <c r="H9" s="11">
        <f>MINA(INDIRECT(ADDRESS(ROW(),COLUMN(newark_part_data)+2)),INDIRECT(ADDRESS(ROW(),COLUMN(digikey_part_data)+2)),INDIRECT(ADDRESS(ROW(),COLUMN(mouser_part_data)+2)))</f>
        <v>0</v>
      </c>
      <c r="I9" s="11">
        <f>iferror(G9*H9,"")</f>
        <v>0</v>
      </c>
      <c r="O9" s="12" t="s">
        <v>475</v>
      </c>
      <c r="V9">
        <v>76</v>
      </c>
      <c r="X9" s="11">
        <f>iferror(lookup(if(W9="",G9,W9),{0,1,10,25,50,100},{0.0,2.64,2.42,2.39,2.34,2.32}),"")</f>
        <v>0</v>
      </c>
      <c r="Y9" s="11">
        <f>iferror(if(W9="",G9,W9)*X9,"")</f>
        <v>0</v>
      </c>
      <c r="Z9" t="s">
        <v>582</v>
      </c>
      <c r="AA9" s="12" t="s">
        <v>475</v>
      </c>
    </row>
    <row r="10" spans="1:27">
      <c r="A10" t="s">
        <v>22</v>
      </c>
      <c r="B10" t="s">
        <v>24</v>
      </c>
      <c r="D10" t="s">
        <v>20</v>
      </c>
      <c r="F10" t="s">
        <v>23</v>
      </c>
      <c r="G10">
        <f>BoardQty*1</f>
        <v>0</v>
      </c>
      <c r="H10" s="11">
        <f>MINA(INDIRECT(ADDRESS(ROW(),COLUMN(newark_part_data)+2)),INDIRECT(ADDRESS(ROW(),COLUMN(digikey_part_data)+2)),INDIRECT(ADDRESS(ROW(),COLUMN(mouser_part_data)+2)))</f>
        <v>0</v>
      </c>
      <c r="I10" s="11">
        <f>iferror(G10*H10,"")</f>
        <v>0</v>
      </c>
      <c r="J10">
        <v>12667</v>
      </c>
      <c r="L10" s="11">
        <f>iferror(lookup(if(K10="",G10,K10),{0,1,25,100,3300},{0.0,0.22,0.21,0.2,0.2}),"")</f>
        <v>0</v>
      </c>
      <c r="M10" s="11">
        <f>iferror(if(K10="",G10,K10)*L10,"")</f>
        <v>0</v>
      </c>
      <c r="N10" t="s">
        <v>478</v>
      </c>
      <c r="O10" s="12" t="s">
        <v>475</v>
      </c>
      <c r="V10">
        <v>1695</v>
      </c>
      <c r="X10" s="11">
        <f>iferror(lookup(if(W10="",G10,W10),{0,1},{0.0,0.212}),"")</f>
        <v>0</v>
      </c>
      <c r="Y10" s="11">
        <f>iferror(if(W10="",G10,W10)*X10,"")</f>
        <v>0</v>
      </c>
      <c r="Z10" t="s">
        <v>583</v>
      </c>
      <c r="AA10" s="12" t="s">
        <v>475</v>
      </c>
    </row>
    <row r="11" spans="1:27">
      <c r="A11" t="s">
        <v>25</v>
      </c>
      <c r="B11" t="s">
        <v>28</v>
      </c>
      <c r="D11" t="s">
        <v>27</v>
      </c>
      <c r="F11" t="s">
        <v>26</v>
      </c>
      <c r="G11">
        <f>BoardQty*1</f>
        <v>0</v>
      </c>
      <c r="H11" s="11">
        <f>MINA(INDIRECT(ADDRESS(ROW(),COLUMN(newark_part_data)+2)),INDIRECT(ADDRESS(ROW(),COLUMN(digikey_part_data)+2)),INDIRECT(ADDRESS(ROW(),COLUMN(mouser_part_data)+2)))</f>
        <v>0</v>
      </c>
      <c r="I11" s="11">
        <f>iferror(G11*H11,"")</f>
        <v>0</v>
      </c>
      <c r="J11">
        <v>2005</v>
      </c>
      <c r="L11" s="11">
        <f>iferror(lookup(if(K11="",G11,K11),{0,1,25,100,2500},{0.0,1.91,1.59,1.44,1.44}),"")</f>
        <v>0</v>
      </c>
      <c r="M11" s="11">
        <f>iferror(if(K11="",G11,K11)*L11,"")</f>
        <v>0</v>
      </c>
      <c r="N11" t="s">
        <v>479</v>
      </c>
      <c r="O11" s="12" t="s">
        <v>475</v>
      </c>
      <c r="V11">
        <v>368</v>
      </c>
      <c r="X11" s="11">
        <f>iferror(lookup(if(W11="",G11,W11),{0,1,10,25,50,100},{0.0,2.48,1.92,1.84,1.78,1.73}),"")</f>
        <v>0</v>
      </c>
      <c r="Y11" s="11">
        <f>iferror(if(W11="",G11,W11)*X11,"")</f>
        <v>0</v>
      </c>
      <c r="Z11" t="s">
        <v>584</v>
      </c>
      <c r="AA11" s="12" t="s">
        <v>475</v>
      </c>
    </row>
    <row r="12" spans="1:27">
      <c r="A12" t="s">
        <v>29</v>
      </c>
      <c r="B12" t="s">
        <v>32</v>
      </c>
      <c r="D12" t="s">
        <v>31</v>
      </c>
      <c r="F12" t="s">
        <v>30</v>
      </c>
      <c r="G12">
        <f>BoardQty*1</f>
        <v>0</v>
      </c>
      <c r="H12" s="11">
        <f>MINA(INDIRECT(ADDRESS(ROW(),COLUMN(newark_part_data)+2)),INDIRECT(ADDRESS(ROW(),COLUMN(digikey_part_data)+2)),INDIRECT(ADDRESS(ROW(),COLUMN(mouser_part_data)+2)))</f>
        <v>0</v>
      </c>
      <c r="I12" s="11">
        <f>iferror(G12*H12,"")</f>
        <v>0</v>
      </c>
      <c r="J12">
        <v>1041</v>
      </c>
      <c r="L12" s="11">
        <f>iferror(lookup(if(K12="",G12,K12),{0,1,10,25,50,100,250,500,1000,2500,5000,12500,25000,50000},{0.0,0.74,0.711,0.504,0.4244,0.3448,0.28648,0.2122,0.18037,0.16976,0.15915,0.14589,0.14324,0.13793}),"")</f>
        <v>0</v>
      </c>
      <c r="M12" s="11">
        <f>iferror(if(K12="",G12,K12)*L12,"")</f>
        <v>0</v>
      </c>
      <c r="N12" t="s">
        <v>480</v>
      </c>
      <c r="O12" s="12" t="s">
        <v>475</v>
      </c>
      <c r="P12">
        <v>45</v>
      </c>
      <c r="R12" s="11">
        <f>iferror(lookup(if(Q12="",G12,Q12),{0,1,10,100,500,1000,2000,10000,25000,50000},{0.0,0.738,0.424,0.286,0.213,0.181,0.159,0.146,0.144,0.137}),"")</f>
        <v>0</v>
      </c>
      <c r="S12" s="11">
        <f>iferror(if(Q12="",G12,Q12)*R12,"")</f>
        <v>0</v>
      </c>
      <c r="T12" t="s">
        <v>569</v>
      </c>
      <c r="U12" s="12" t="s">
        <v>475</v>
      </c>
      <c r="AA12" s="12" t="s">
        <v>475</v>
      </c>
    </row>
    <row r="13" spans="1:27">
      <c r="A13" t="s">
        <v>33</v>
      </c>
      <c r="B13" t="s">
        <v>36</v>
      </c>
      <c r="D13" t="s">
        <v>35</v>
      </c>
      <c r="F13" t="s">
        <v>34</v>
      </c>
      <c r="G13">
        <f>BoardQty*1</f>
        <v>0</v>
      </c>
      <c r="H13" s="11">
        <f>MINA(INDIRECT(ADDRESS(ROW(),COLUMN(newark_part_data)+2)),INDIRECT(ADDRESS(ROW(),COLUMN(digikey_part_data)+2)),INDIRECT(ADDRESS(ROW(),COLUMN(mouser_part_data)+2)))</f>
        <v>0</v>
      </c>
      <c r="I13" s="11">
        <f>iferror(G13*H13,"")</f>
        <v>0</v>
      </c>
      <c r="O13" s="12" t="s">
        <v>475</v>
      </c>
    </row>
    <row r="14" spans="1:27">
      <c r="A14" t="s">
        <v>37</v>
      </c>
      <c r="B14" t="s">
        <v>40</v>
      </c>
      <c r="D14" t="s">
        <v>39</v>
      </c>
      <c r="F14" t="s">
        <v>38</v>
      </c>
      <c r="G14">
        <f>BoardQty*1</f>
        <v>0</v>
      </c>
      <c r="H14" s="11">
        <f>MINA(INDIRECT(ADDRESS(ROW(),COLUMN(newark_part_data)+2)),INDIRECT(ADDRESS(ROW(),COLUMN(digikey_part_data)+2)),INDIRECT(ADDRESS(ROW(),COLUMN(mouser_part_data)+2)))</f>
        <v>0</v>
      </c>
      <c r="I14" s="11">
        <f>iferror(G14*H14,"")</f>
        <v>0</v>
      </c>
      <c r="J14">
        <v>13479</v>
      </c>
      <c r="L14" s="11">
        <f>iferror(lookup(if(K14="",G14,K14),{0,1,10,25,50,100,250,500,1000,4000,8000,12000,28000,100000},{0.0,0.43,0.328,0.2496,0.1854,0.1378,0.11644,0.0998,0.07603,0.072,0.0648,0.06336,0.0612,0.05942}),"")</f>
        <v>0</v>
      </c>
      <c r="M14" s="11">
        <f>iferror(if(K14="",G14,K14)*L14,"")</f>
        <v>0</v>
      </c>
      <c r="N14" t="s">
        <v>481</v>
      </c>
      <c r="O14" s="12" t="s">
        <v>475</v>
      </c>
      <c r="P14">
        <v>6499</v>
      </c>
      <c r="R14" s="11">
        <f>iferror(lookup(if(Q14="",G14,Q14),{0,1,10,100,500,1000,4000,8000,24000,48000},{0.0,0.444,0.191,0.12,0.102,0.078,0.074,0.065,0.063,0.062}),"")</f>
        <v>0</v>
      </c>
      <c r="S14" s="11">
        <f>iferror(if(Q14="",G14,Q14)*R14,"")</f>
        <v>0</v>
      </c>
      <c r="T14" t="s">
        <v>570</v>
      </c>
      <c r="U14" s="12" t="s">
        <v>475</v>
      </c>
      <c r="AA14" s="12" t="s">
        <v>475</v>
      </c>
    </row>
    <row r="15" spans="1:27">
      <c r="A15" t="s">
        <v>41</v>
      </c>
      <c r="B15" t="s">
        <v>44</v>
      </c>
      <c r="D15" t="s">
        <v>43</v>
      </c>
      <c r="F15" t="s">
        <v>42</v>
      </c>
      <c r="G15">
        <f>BoardQty*3</f>
        <v>0</v>
      </c>
      <c r="H15" s="11">
        <f>MINA(INDIRECT(ADDRESS(ROW(),COLUMN(newark_part_data)+2)),INDIRECT(ADDRESS(ROW(),COLUMN(digikey_part_data)+2)),INDIRECT(ADDRESS(ROW(),COLUMN(mouser_part_data)+2)))</f>
        <v>0</v>
      </c>
      <c r="I15" s="11">
        <f>iferror(G15*H15,"")</f>
        <v>0</v>
      </c>
      <c r="J15">
        <v>54370</v>
      </c>
      <c r="L15" s="11">
        <f>iferror(lookup(if(K15="",G15,K15),{0,1,10,50,100,250,500,1000,2000,4000,9000,10000,14000,18000,27000,50000,63000,100000,225000},{0.0,0.35,0.308,0.187,0.154,0.1232,0.1122,0.1012,0.0792,0.0748,0.064,0.0704,0.0682,0.062,0.06,0.0616,0.056,0.0572,0.052}),"")</f>
        <v>0</v>
      </c>
      <c r="M15" s="11">
        <f>iferror(if(K15="",G15,K15)*L15,"")</f>
        <v>0</v>
      </c>
      <c r="N15" t="s">
        <v>482</v>
      </c>
      <c r="O15" s="12" t="s">
        <v>475</v>
      </c>
      <c r="P15">
        <v>15947</v>
      </c>
      <c r="R15" s="11">
        <f>iferror(lookup(if(Q15="",G15,Q15),{0,1,10,100,500,1000,5000,9000,18000,45000},{0.0,0.346,0.202,0.121,0.11,0.087,0.073,0.068,0.064,0.058}),"")</f>
        <v>0</v>
      </c>
      <c r="S15" s="11">
        <f>iferror(if(Q15="",G15,Q15)*R15,"")</f>
        <v>0</v>
      </c>
      <c r="T15" t="s">
        <v>571</v>
      </c>
      <c r="U15" s="12" t="s">
        <v>475</v>
      </c>
      <c r="AA15" s="12" t="s">
        <v>475</v>
      </c>
    </row>
    <row r="16" spans="1:27">
      <c r="A16" t="s">
        <v>45</v>
      </c>
      <c r="B16" t="s">
        <v>44</v>
      </c>
      <c r="D16" t="s">
        <v>43</v>
      </c>
      <c r="F16" t="s">
        <v>46</v>
      </c>
      <c r="G16">
        <f>BoardQty*1</f>
        <v>0</v>
      </c>
      <c r="H16" s="11">
        <f>MINA(INDIRECT(ADDRESS(ROW(),COLUMN(newark_part_data)+2)),INDIRECT(ADDRESS(ROW(),COLUMN(digikey_part_data)+2)),INDIRECT(ADDRESS(ROW(),COLUMN(mouser_part_data)+2)))</f>
        <v>0</v>
      </c>
      <c r="I16" s="11">
        <f>iferror(G16*H16,"")</f>
        <v>0</v>
      </c>
      <c r="J16">
        <v>54370</v>
      </c>
      <c r="L16" s="11">
        <f>iferror(lookup(if(K16="",G16,K16),{0,1,10,50,100,250,500,1000,2000,4000,9000,10000,14000,18000,27000,50000,63000,100000,225000},{0.0,0.35,0.308,0.187,0.154,0.1232,0.1122,0.1012,0.0792,0.0748,0.064,0.0704,0.0682,0.062,0.06,0.0616,0.056,0.0572,0.052}),"")</f>
        <v>0</v>
      </c>
      <c r="M16" s="11">
        <f>iferror(if(K16="",G16,K16)*L16,"")</f>
        <v>0</v>
      </c>
      <c r="N16" t="s">
        <v>482</v>
      </c>
      <c r="O16" s="12" t="s">
        <v>475</v>
      </c>
      <c r="V16">
        <v>1652</v>
      </c>
      <c r="X16" s="11">
        <f>iferror(lookup(if(W16="",G16,W16),{0,1,10,25,50,100,250,1000},{0.0,0.252,0.219,0.155,0.132,0.109,0.087,0.07}),"")</f>
        <v>0</v>
      </c>
      <c r="Y16" s="11">
        <f>iferror(if(W16="",G16,W16)*X16,"")</f>
        <v>0</v>
      </c>
      <c r="Z16" t="s">
        <v>585</v>
      </c>
      <c r="AA16" s="12" t="s">
        <v>475</v>
      </c>
    </row>
    <row r="17" spans="1:27">
      <c r="A17" t="s">
        <v>47</v>
      </c>
      <c r="B17" t="s">
        <v>49</v>
      </c>
      <c r="D17" t="s">
        <v>12</v>
      </c>
      <c r="F17" t="s">
        <v>48</v>
      </c>
      <c r="G17">
        <f>BoardQty*8</f>
        <v>0</v>
      </c>
      <c r="H17" s="11">
        <f>MINA(INDIRECT(ADDRESS(ROW(),COLUMN(newark_part_data)+2)),INDIRECT(ADDRESS(ROW(),COLUMN(digikey_part_data)+2)),INDIRECT(ADDRESS(ROW(),COLUMN(mouser_part_data)+2)))</f>
        <v>0</v>
      </c>
      <c r="I17" s="11">
        <f>iferror(G17*H17,"")</f>
        <v>0</v>
      </c>
      <c r="J17">
        <v>1858177</v>
      </c>
      <c r="L17" s="11">
        <f>iferror(lookup(if(K17="",G17,K17),{0,1,10,25,100,250,500,1000,2500,5000,10000,25000,50000,125000},{0.0,0.1,0.011,0.008,0.0044,0.00336,0.0027,0.00198,0.00172,0.00129,0.00112,0.00099,0.0009,0.00089}),"")</f>
        <v>0</v>
      </c>
      <c r="M17" s="11">
        <f>iferror(if(K17="",G17,K17)*L17,"")</f>
        <v>0</v>
      </c>
      <c r="N17" t="s">
        <v>48</v>
      </c>
      <c r="O17" s="12" t="s">
        <v>475</v>
      </c>
    </row>
    <row r="18" spans="1:27">
      <c r="A18" t="s">
        <v>50</v>
      </c>
      <c r="B18" t="s">
        <v>49</v>
      </c>
      <c r="D18" t="s">
        <v>12</v>
      </c>
      <c r="F18" t="s">
        <v>51</v>
      </c>
      <c r="G18">
        <f>BoardQty*2</f>
        <v>0</v>
      </c>
      <c r="H18" s="11">
        <f>MINA(INDIRECT(ADDRESS(ROW(),COLUMN(newark_part_data)+2)),INDIRECT(ADDRESS(ROW(),COLUMN(digikey_part_data)+2)),INDIRECT(ADDRESS(ROW(),COLUMN(mouser_part_data)+2)))</f>
        <v>0</v>
      </c>
      <c r="I18" s="11">
        <f>iferror(G18*H18,"")</f>
        <v>0</v>
      </c>
      <c r="J18">
        <v>1858177</v>
      </c>
      <c r="L18" s="11">
        <f>iferror(lookup(if(K18="",G18,K18),{0,1,10,25,100,250,500,1000,2500,5000,10000,25000,50000,125000},{0.0,0.1,0.011,0.008,0.0044,0.00336,0.0027,0.00198,0.00172,0.00129,0.00112,0.00099,0.0009,0.00089}),"")</f>
        <v>0</v>
      </c>
      <c r="M18" s="11">
        <f>iferror(if(K18="",G18,K18)*L18,"")</f>
        <v>0</v>
      </c>
      <c r="N18" t="s">
        <v>48</v>
      </c>
      <c r="O18" s="12" t="s">
        <v>475</v>
      </c>
      <c r="P18">
        <v>34794</v>
      </c>
      <c r="R18" s="11">
        <f>iferror(lookup(if(Q18="",G18,Q18),{0,1,10,100,1000,5000,50000},{0.0,0.099,0.008,0.003,0.002,0.002,0.001}),"")</f>
        <v>0</v>
      </c>
      <c r="S18" s="11">
        <f>iferror(if(Q18="",G18,Q18)*R18,"")</f>
        <v>0</v>
      </c>
      <c r="T18" t="s">
        <v>572</v>
      </c>
      <c r="U18" s="12" t="s">
        <v>475</v>
      </c>
      <c r="V18">
        <v>28791</v>
      </c>
      <c r="X18" s="11">
        <f>iferror(lookup(if(W18="",G18,W18),{0,1,10,25,100,250,1000},{0.0,0.009,0.009,0.008,0.005,0.004,0.003}),"")</f>
        <v>0</v>
      </c>
      <c r="Y18" s="11">
        <f>iferror(if(W18="",G18,W18)*X18,"")</f>
        <v>0</v>
      </c>
      <c r="Z18" t="s">
        <v>586</v>
      </c>
      <c r="AA18" s="12" t="s">
        <v>475</v>
      </c>
    </row>
    <row r="19" spans="1:27">
      <c r="A19" t="s">
        <v>52</v>
      </c>
      <c r="B19" t="s">
        <v>53</v>
      </c>
      <c r="D19" t="s">
        <v>54</v>
      </c>
      <c r="F19" t="s">
        <v>53</v>
      </c>
      <c r="G19">
        <f>BoardQty*1</f>
        <v>0</v>
      </c>
      <c r="H19" s="11">
        <f>MINA(INDIRECT(ADDRESS(ROW(),COLUMN(newark_part_data)+2)),INDIRECT(ADDRESS(ROW(),COLUMN(digikey_part_data)+2)),INDIRECT(ADDRESS(ROW(),COLUMN(mouser_part_data)+2)))</f>
        <v>0</v>
      </c>
      <c r="I19" s="11">
        <f>iferror(G19*H19,"")</f>
        <v>0</v>
      </c>
      <c r="J19">
        <v>12521</v>
      </c>
      <c r="L19" s="11">
        <f>iferror(lookup(if(K19="",G19,K19),{0,1,10,100,500,1000,4000,8000,12000,28000,100000,200000},{0.0,0.46,0.392,0.2925,0.22972,0.1771,0.15686,0.14674,0.13662,0.12954,0.12448,0.12144}),"")</f>
        <v>0</v>
      </c>
      <c r="M19" s="11">
        <f>iferror(if(K19="",G19,K19)*L19,"")</f>
        <v>0</v>
      </c>
      <c r="N19" t="s">
        <v>483</v>
      </c>
      <c r="O19" s="12" t="s">
        <v>475</v>
      </c>
      <c r="V19">
        <v>480</v>
      </c>
      <c r="X19" s="11">
        <f>iferror(lookup(if(W19="",G19,W19),{0,1,10,100,1000},{0.0,0.484,0.366,0.23,0.172}),"")</f>
        <v>0</v>
      </c>
      <c r="Y19" s="11">
        <f>iferror(if(W19="",G19,W19)*X19,"")</f>
        <v>0</v>
      </c>
      <c r="Z19" t="s">
        <v>587</v>
      </c>
      <c r="AA19" s="12" t="s">
        <v>475</v>
      </c>
    </row>
    <row r="20" spans="1:27">
      <c r="A20" t="s">
        <v>55</v>
      </c>
      <c r="B20" t="s">
        <v>58</v>
      </c>
      <c r="D20" t="s">
        <v>57</v>
      </c>
      <c r="F20" t="s">
        <v>56</v>
      </c>
      <c r="G20">
        <f>BoardQty*2</f>
        <v>0</v>
      </c>
      <c r="H20" s="11">
        <f>MINA(INDIRECT(ADDRESS(ROW(),COLUMN(newark_part_data)+2)),INDIRECT(ADDRESS(ROW(),COLUMN(digikey_part_data)+2)),INDIRECT(ADDRESS(ROW(),COLUMN(mouser_part_data)+2)))</f>
        <v>0</v>
      </c>
      <c r="I20" s="11">
        <f>iferror(G20*H20,"")</f>
        <v>0</v>
      </c>
      <c r="J20">
        <v>124544</v>
      </c>
      <c r="L20" s="11">
        <f>iferror(lookup(if(K20="",G20,K20),{0,1,10,50,100,250,500,1000,4000,8000,12000,28000,100000},{0.0,0.1,0.075,0.0614,0.045,0.03272,0.03,0.02592,0.01984,0.01798,0.01736,0.01612,0.01593}),"")</f>
        <v>0</v>
      </c>
      <c r="M20" s="11">
        <f>iferror(if(K20="",G20,K20)*L20,"")</f>
        <v>0</v>
      </c>
      <c r="N20" t="s">
        <v>484</v>
      </c>
      <c r="O20" s="12" t="s">
        <v>475</v>
      </c>
      <c r="P20">
        <v>11455</v>
      </c>
      <c r="R20" s="11">
        <f>iferror(lookup(if(Q20="",G20,Q20),{0,1,10,100,500,1000,4000},{0.0,0.099,0.06,0.032,0.029,0.025,0.019}),"")</f>
        <v>0</v>
      </c>
      <c r="S20" s="11">
        <f>iferror(if(Q20="",G20,Q20)*R20,"")</f>
        <v>0</v>
      </c>
      <c r="T20" t="s">
        <v>573</v>
      </c>
      <c r="U20" s="12" t="s">
        <v>475</v>
      </c>
      <c r="V20">
        <v>14439</v>
      </c>
      <c r="X20" s="11">
        <f>iferror(lookup(if(W20="",G20,W20),{0,1,50,100,500,1000,2500,5000,10000},{0.0,0.042,0.036,0.03,0.027,0.024,0.02,0.018,0.017}),"")</f>
        <v>0</v>
      </c>
      <c r="Y20" s="11">
        <f>iferror(if(W20="",G20,W20)*X20,"")</f>
        <v>0</v>
      </c>
      <c r="Z20" t="s">
        <v>588</v>
      </c>
      <c r="AA20" s="12" t="s">
        <v>475</v>
      </c>
    </row>
    <row r="21" spans="1:27">
      <c r="A21" t="s">
        <v>59</v>
      </c>
      <c r="B21" t="s">
        <v>58</v>
      </c>
      <c r="D21" t="s">
        <v>57</v>
      </c>
      <c r="F21" t="s">
        <v>60</v>
      </c>
      <c r="G21">
        <f>BoardQty*2</f>
        <v>0</v>
      </c>
      <c r="H21" s="11">
        <f>MINA(INDIRECT(ADDRESS(ROW(),COLUMN(newark_part_data)+2)),INDIRECT(ADDRESS(ROW(),COLUMN(digikey_part_data)+2)),INDIRECT(ADDRESS(ROW(),COLUMN(mouser_part_data)+2)))</f>
        <v>0</v>
      </c>
      <c r="I21" s="11">
        <f>iferror(G21*H21,"")</f>
        <v>0</v>
      </c>
      <c r="J21">
        <v>124544</v>
      </c>
      <c r="L21" s="11">
        <f>iferror(lookup(if(K21="",G21,K21),{0,1,10,50,100,250,500,1000,4000,8000,12000,28000,100000},{0.0,0.1,0.075,0.0614,0.045,0.03272,0.03,0.02592,0.01984,0.01798,0.01736,0.01612,0.01593}),"")</f>
        <v>0</v>
      </c>
      <c r="M21" s="11">
        <f>iferror(if(K21="",G21,K21)*L21,"")</f>
        <v>0</v>
      </c>
      <c r="N21" t="s">
        <v>484</v>
      </c>
      <c r="O21" s="12" t="s">
        <v>475</v>
      </c>
      <c r="P21">
        <v>11455</v>
      </c>
      <c r="R21" s="11">
        <f>iferror(lookup(if(Q21="",G21,Q21),{0,1,10,100,500,1000,4000},{0.0,0.099,0.06,0.032,0.029,0.025,0.019}),"")</f>
        <v>0</v>
      </c>
      <c r="S21" s="11">
        <f>iferror(if(Q21="",G21,Q21)*R21,"")</f>
        <v>0</v>
      </c>
      <c r="T21" t="s">
        <v>573</v>
      </c>
      <c r="U21" s="12" t="s">
        <v>475</v>
      </c>
      <c r="V21">
        <v>14439</v>
      </c>
      <c r="X21" s="11">
        <f>iferror(lookup(if(W21="",G21,W21),{0,1,50,100,500,1000,2500,5000,10000},{0.0,0.042,0.036,0.03,0.027,0.024,0.02,0.018,0.017}),"")</f>
        <v>0</v>
      </c>
      <c r="Y21" s="11">
        <f>iferror(if(W21="",G21,W21)*X21,"")</f>
        <v>0</v>
      </c>
      <c r="Z21" t="s">
        <v>588</v>
      </c>
      <c r="AA21" s="12" t="s">
        <v>475</v>
      </c>
    </row>
    <row r="22" spans="1:27">
      <c r="A22" t="s">
        <v>61</v>
      </c>
      <c r="B22" t="s">
        <v>63</v>
      </c>
      <c r="D22" t="s">
        <v>54</v>
      </c>
      <c r="F22" t="s">
        <v>62</v>
      </c>
      <c r="G22">
        <f>BoardQty*4</f>
        <v>0</v>
      </c>
      <c r="H22" s="11">
        <f>MINA(INDIRECT(ADDRESS(ROW(),COLUMN(newark_part_data)+2)),INDIRECT(ADDRESS(ROW(),COLUMN(digikey_part_data)+2)),INDIRECT(ADDRESS(ROW(),COLUMN(mouser_part_data)+2)))</f>
        <v>0</v>
      </c>
      <c r="I22" s="11">
        <f>iferror(G22*H22,"")</f>
        <v>0</v>
      </c>
      <c r="J22">
        <v>6040</v>
      </c>
      <c r="L22" s="11">
        <f>iferror(lookup(if(K22="",G22,K22),{0,1,10,100,500,1000,4000,8000,12000,28000,100000,200000},{0.0,0.67,0.573,0.4277,0.33596,0.259,0.2294,0.2146,0.1998,0.18944,0.18204,0.1776}),"")</f>
        <v>0</v>
      </c>
      <c r="M22" s="11">
        <f>iferror(if(K22="",G22,K22)*L22,"")</f>
        <v>0</v>
      </c>
      <c r="N22" t="s">
        <v>485</v>
      </c>
      <c r="O22" s="12" t="s">
        <v>475</v>
      </c>
      <c r="P22">
        <v>6341</v>
      </c>
      <c r="R22" s="11">
        <f>iferror(lookup(if(Q22="",G22,Q22),{0,1,10,100,1000,4000,8000,24000,48000},{0.0,0.638,0.532,0.325,0.251,0.215,0.198,0.189,0.187}),"")</f>
        <v>0</v>
      </c>
      <c r="S22" s="11">
        <f>iferror(if(Q22="",G22,Q22)*R22,"")</f>
        <v>0</v>
      </c>
      <c r="T22" t="s">
        <v>574</v>
      </c>
      <c r="U22" s="12" t="s">
        <v>475</v>
      </c>
      <c r="V22">
        <v>1951</v>
      </c>
      <c r="X22" s="11">
        <f>iferror(lookup(if(W22="",G22,W22),{0,1,250,500,1000,5000},{0.0,0.64,0.483,0.431,0.388,0.352}),"")</f>
        <v>0</v>
      </c>
      <c r="Y22" s="11">
        <f>iferror(if(W22="",G22,W22)*X22,"")</f>
        <v>0</v>
      </c>
      <c r="Z22" t="s">
        <v>589</v>
      </c>
      <c r="AA22" s="12" t="s">
        <v>475</v>
      </c>
    </row>
    <row r="23" spans="1:27">
      <c r="A23" t="s">
        <v>64</v>
      </c>
      <c r="B23" t="s">
        <v>66</v>
      </c>
      <c r="D23" t="s">
        <v>12</v>
      </c>
      <c r="F23" t="s">
        <v>65</v>
      </c>
      <c r="G23">
        <f>BoardQty*1</f>
        <v>0</v>
      </c>
      <c r="H23" s="11">
        <f>MINA(INDIRECT(ADDRESS(ROW(),COLUMN(newark_part_data)+2)),INDIRECT(ADDRESS(ROW(),COLUMN(digikey_part_data)+2)),INDIRECT(ADDRESS(ROW(),COLUMN(mouser_part_data)+2)))</f>
        <v>0</v>
      </c>
      <c r="I23" s="11">
        <f>iferror(G23*H23,"")</f>
        <v>0</v>
      </c>
      <c r="J23">
        <v>73948</v>
      </c>
      <c r="L23" s="11">
        <f>iferror(lookup(if(K23="",G23,K23),{0,1,50,100,250,500,1000,5000,10000,25000,50000,125000},{0.0,0.63,0.2494,0.1924,0.14964,0.10546,0.07695,0.04275,0.0399,0.03791,0.03714,0.03634}),"")</f>
        <v>0</v>
      </c>
      <c r="M23" s="11">
        <f>iferror(if(K23="",G23,K23)*L23,"")</f>
        <v>0</v>
      </c>
      <c r="N23" t="s">
        <v>486</v>
      </c>
      <c r="O23" s="12" t="s">
        <v>475</v>
      </c>
      <c r="P23">
        <v>68795</v>
      </c>
      <c r="R23" s="11">
        <f>iferror(lookup(if(Q23="",G23,Q23),{0,1,10,100,500,1000,5000,10000,25000},{0.0,0.621,0.245,0.147,0.104,0.075,0.041,0.038,0.037}),"")</f>
        <v>0</v>
      </c>
      <c r="S23" s="11">
        <f>iferror(if(Q23="",G23,Q23)*R23,"")</f>
        <v>0</v>
      </c>
      <c r="T23" t="s">
        <v>575</v>
      </c>
      <c r="U23" s="12" t="s">
        <v>475</v>
      </c>
      <c r="V23">
        <v>2958</v>
      </c>
      <c r="X23" s="11">
        <f>iferror(lookup(if(W23="",G23,W23),{0,1,50,100,250,500,1000},{0.0,0.631,0.249,0.192,0.149,0.105,0.077}),"")</f>
        <v>0</v>
      </c>
      <c r="Y23" s="11">
        <f>iferror(if(W23="",G23,W23)*X23,"")</f>
        <v>0</v>
      </c>
      <c r="Z23" t="s">
        <v>590</v>
      </c>
      <c r="AA23" s="12" t="s">
        <v>475</v>
      </c>
    </row>
    <row r="24" spans="1:27">
      <c r="A24" t="s">
        <v>67</v>
      </c>
      <c r="B24" t="s">
        <v>70</v>
      </c>
      <c r="D24" t="s">
        <v>69</v>
      </c>
      <c r="F24" t="s">
        <v>68</v>
      </c>
      <c r="G24">
        <f>BoardQty*5</f>
        <v>0</v>
      </c>
      <c r="H24" s="11">
        <f>MINA(INDIRECT(ADDRESS(ROW(),COLUMN(newark_part_data)+2)),INDIRECT(ADDRESS(ROW(),COLUMN(digikey_part_data)+2)),INDIRECT(ADDRESS(ROW(),COLUMN(mouser_part_data)+2)))</f>
        <v>0</v>
      </c>
      <c r="I24" s="11">
        <f>iferror(G24*H24,"")</f>
        <v>0</v>
      </c>
      <c r="J24">
        <v>121009</v>
      </c>
      <c r="L24" s="11">
        <f>iferror(lookup(if(K24="",G24,K24),{0,1,10,50,100,250,500,1000,4000,8000,12000,28000,100000},{0.0,0.1,0.043,0.0234,0.0198,0.0162,0.01386,0.0108,0.00828,0.00756,0.0072,0.00684,0.00495}),"")</f>
        <v>0</v>
      </c>
      <c r="M24" s="11">
        <f>iferror(if(K24="",G24,K24)*L24,"")</f>
        <v>0</v>
      </c>
      <c r="N24" t="s">
        <v>487</v>
      </c>
      <c r="O24" s="12" t="s">
        <v>475</v>
      </c>
      <c r="V24">
        <v>4165</v>
      </c>
      <c r="X24" s="11">
        <f>iferror(lookup(if(W24="",G24,W24),{0,1,10,50,100,250,500,1000},{0.0,0.095,0.029,0.017,0.014,0.011,0.01,0.007}),"")</f>
        <v>0</v>
      </c>
      <c r="Y24" s="11">
        <f>iferror(if(W24="",G24,W24)*X24,"")</f>
        <v>0</v>
      </c>
      <c r="Z24" t="s">
        <v>591</v>
      </c>
      <c r="AA24" s="12" t="s">
        <v>475</v>
      </c>
    </row>
    <row r="25" spans="1:27">
      <c r="A25" t="s">
        <v>71</v>
      </c>
      <c r="B25" t="s">
        <v>73</v>
      </c>
      <c r="F25" t="s">
        <v>72</v>
      </c>
      <c r="G25">
        <f>BoardQty*2</f>
        <v>0</v>
      </c>
      <c r="H25" s="11">
        <f>MINA(INDIRECT(ADDRESS(ROW(),COLUMN(newark_part_data)+2)),INDIRECT(ADDRESS(ROW(),COLUMN(digikey_part_data)+2)),INDIRECT(ADDRESS(ROW(),COLUMN(mouser_part_data)+2)))</f>
        <v>0</v>
      </c>
      <c r="I25" s="11">
        <f>iferror(G25*H25,"")</f>
        <v>0</v>
      </c>
      <c r="J25">
        <v>70040</v>
      </c>
      <c r="L25" s="11">
        <f>iferror(lookup(if(K25="",G25,K25),{0,1,10,25,50,100,500,1000,4000,8000,12000,28000,100000},{0.0,0.1,0.048,0.034,0.0262,0.0221,0.01548,0.01206,0.00925,0.00844,0.00804,0.00764,0.00553}),"")</f>
        <v>0</v>
      </c>
      <c r="M25" s="11">
        <f>iferror(if(K25="",G25,K25)*L25,"")</f>
        <v>0</v>
      </c>
      <c r="N25" t="s">
        <v>488</v>
      </c>
      <c r="O25" s="12" t="s">
        <v>475</v>
      </c>
    </row>
    <row r="26" spans="1:27">
      <c r="A26" t="s">
        <v>74</v>
      </c>
      <c r="B26" t="s">
        <v>76</v>
      </c>
      <c r="D26" t="s">
        <v>75</v>
      </c>
      <c r="G26">
        <f>BoardQty*4</f>
        <v>0</v>
      </c>
      <c r="H26" s="11">
        <f>MINA(INDIRECT(ADDRESS(ROW(),COLUMN(newark_part_data)+2)),INDIRECT(ADDRESS(ROW(),COLUMN(digikey_part_data)+2)),INDIRECT(ADDRESS(ROW(),COLUMN(mouser_part_data)+2)))</f>
        <v>0</v>
      </c>
      <c r="I26" s="11">
        <f>iferror(G26*H26,"")</f>
        <v>0</v>
      </c>
    </row>
    <row r="27" spans="1:27">
      <c r="A27" t="s">
        <v>77</v>
      </c>
      <c r="B27" t="s">
        <v>79</v>
      </c>
      <c r="D27" t="s">
        <v>57</v>
      </c>
      <c r="F27" t="s">
        <v>78</v>
      </c>
      <c r="G27">
        <f>BoardQty*1</f>
        <v>0</v>
      </c>
      <c r="H27" s="11">
        <f>MINA(INDIRECT(ADDRESS(ROW(),COLUMN(newark_part_data)+2)),INDIRECT(ADDRESS(ROW(),COLUMN(digikey_part_data)+2)),INDIRECT(ADDRESS(ROW(),COLUMN(mouser_part_data)+2)))</f>
        <v>0</v>
      </c>
      <c r="I27" s="11">
        <f>iferror(G27*H27,"")</f>
        <v>0</v>
      </c>
      <c r="J27">
        <v>18774</v>
      </c>
      <c r="L27" s="11">
        <f>iferror(lookup(if(K27="",G27,K27),{0,1,10,25,50,100,250,500,1000,4000,8000},{0.0,0.1,0.062,0.0568,0.051,0.0375,0.02724,0.02498,0.02157,0.01651,0.015}),"")</f>
        <v>0</v>
      </c>
      <c r="M27" s="11">
        <f>iferror(if(K27="",G27,K27)*L27,"")</f>
        <v>0</v>
      </c>
      <c r="N27" t="s">
        <v>489</v>
      </c>
      <c r="O27" s="12" t="s">
        <v>475</v>
      </c>
      <c r="AA27" s="12" t="s">
        <v>475</v>
      </c>
    </row>
    <row r="28" spans="1:27">
      <c r="A28" t="s">
        <v>80</v>
      </c>
      <c r="B28" t="s">
        <v>83</v>
      </c>
      <c r="D28" t="s">
        <v>82</v>
      </c>
      <c r="F28" t="s">
        <v>81</v>
      </c>
      <c r="G28">
        <f>BoardQty*2</f>
        <v>0</v>
      </c>
      <c r="H28" s="11">
        <f>MINA(INDIRECT(ADDRESS(ROW(),COLUMN(newark_part_data)+2)),INDIRECT(ADDRESS(ROW(),COLUMN(digikey_part_data)+2)),INDIRECT(ADDRESS(ROW(),COLUMN(mouser_part_data)+2)))</f>
        <v>0</v>
      </c>
      <c r="I28" s="11">
        <f>iferror(G28*H28,"")</f>
        <v>0</v>
      </c>
      <c r="J28">
        <v>2108</v>
      </c>
      <c r="L28" s="11">
        <f>iferror(lookup(if(K28="",G28,K28),{0,1,10,50,100,250,500,1000,4000,8000,12000,28000,100000},{0.0,0.1,0.048,0.026,0.022,0.018,0.0154,0.012,0.0092,0.0084,0.008,0.0076,0.0055}),"")</f>
        <v>0</v>
      </c>
      <c r="M28" s="11">
        <f>iferror(if(K28="",G28,K28)*L28,"")</f>
        <v>0</v>
      </c>
      <c r="N28" t="s">
        <v>490</v>
      </c>
      <c r="O28" s="12" t="s">
        <v>475</v>
      </c>
      <c r="AA28" s="12" t="s">
        <v>475</v>
      </c>
    </row>
    <row r="29" spans="1:27">
      <c r="A29" t="s">
        <v>84</v>
      </c>
      <c r="B29" t="s">
        <v>86</v>
      </c>
      <c r="D29" t="s">
        <v>12</v>
      </c>
      <c r="F29" t="s">
        <v>85</v>
      </c>
      <c r="G29">
        <f>BoardQty*3</f>
        <v>0</v>
      </c>
      <c r="H29" s="11">
        <f>MINA(INDIRECT(ADDRESS(ROW(),COLUMN(newark_part_data)+2)),INDIRECT(ADDRESS(ROW(),COLUMN(digikey_part_data)+2)),INDIRECT(ADDRESS(ROW(),COLUMN(mouser_part_data)+2)))</f>
        <v>0</v>
      </c>
      <c r="I29" s="11">
        <f>iferror(G29*H29,"")</f>
        <v>0</v>
      </c>
      <c r="J29">
        <v>601536</v>
      </c>
      <c r="L29" s="11">
        <f>iferror(lookup(if(K29="",G29,K29),{0,1,10,25,100,250,500,1000,2500,5000,10000,25000,50000,125000},{0.0,0.1,0.011,0.008,0.0044,0.00336,0.0027,0.00198,0.00172,0.00129,0.00112,0.00099,0.0009,0.00089}),"")</f>
        <v>0</v>
      </c>
      <c r="M29" s="11">
        <f>iferror(if(K29="",G29,K29)*L29,"")</f>
        <v>0</v>
      </c>
      <c r="N29" t="s">
        <v>491</v>
      </c>
      <c r="O29" s="12" t="s">
        <v>475</v>
      </c>
      <c r="P29">
        <v>65093</v>
      </c>
      <c r="R29" s="11">
        <f>iferror(lookup(if(Q29="",G29,Q29),{0,1,10,100,1000,5000,50000},{0.0,0.099,0.008,0.003,0.002,0.002,0.001}),"")</f>
        <v>0</v>
      </c>
      <c r="S29" s="11">
        <f>iferror(if(Q29="",G29,Q29)*R29,"")</f>
        <v>0</v>
      </c>
      <c r="T29" t="s">
        <v>576</v>
      </c>
      <c r="U29" s="12" t="s">
        <v>475</v>
      </c>
      <c r="V29">
        <v>7553</v>
      </c>
      <c r="X29" s="11">
        <f>iferror(lookup(if(W29="",G29,W29),{0,1,10,25,100,250,1000},{0.0,0.06,0.01,0.007,0.004,0.003,0.002}),"")</f>
        <v>0</v>
      </c>
      <c r="Y29" s="11">
        <f>iferror(if(W29="",G29,W29)*X29,"")</f>
        <v>0</v>
      </c>
      <c r="Z29" t="s">
        <v>592</v>
      </c>
      <c r="AA29" s="12" t="s">
        <v>475</v>
      </c>
    </row>
    <row r="30" spans="1:27">
      <c r="A30" t="s">
        <v>87</v>
      </c>
      <c r="B30" t="s">
        <v>88</v>
      </c>
      <c r="D30" t="s">
        <v>89</v>
      </c>
      <c r="F30" t="s">
        <v>88</v>
      </c>
      <c r="G30">
        <f>BoardQty*1</f>
        <v>0</v>
      </c>
      <c r="H30" s="11">
        <f>MINA(INDIRECT(ADDRESS(ROW(),COLUMN(newark_part_data)+2)),INDIRECT(ADDRESS(ROW(),COLUMN(digikey_part_data)+2)),INDIRECT(ADDRESS(ROW(),COLUMN(mouser_part_data)+2)))</f>
        <v>0</v>
      </c>
      <c r="I30" s="11">
        <f>iferror(G30*H30,"")</f>
        <v>0</v>
      </c>
      <c r="J30">
        <v>11455</v>
      </c>
      <c r="L30" s="11">
        <f>iferror(lookup(if(K30="",G30,K30),{0,1,10,25,50,100,250,500,1000,3000,6000,15000},{0.0,0.29,0.273,0.252,0.2432,0.2264,0.2016,0.168,0.1592,0.128,0.12,0.112}),"")</f>
        <v>0</v>
      </c>
      <c r="M30" s="11">
        <f>iferror(if(K30="",G30,K30)*L30,"")</f>
        <v>0</v>
      </c>
      <c r="N30" t="s">
        <v>492</v>
      </c>
      <c r="O30" s="12" t="s">
        <v>475</v>
      </c>
      <c r="P30">
        <v>12200</v>
      </c>
      <c r="R30" s="11">
        <f>iferror(lookup(if(Q30="",G30,Q30),{0,1,10,100,250,500,1000,3000,6000,9000},{0.0,0.3,0.251,0.233,0.207,0.173,0.165,0.132,0.124,0.116}),"")</f>
        <v>0</v>
      </c>
      <c r="S30" s="11">
        <f>iferror(if(Q30="",G30,Q30)*R30,"")</f>
        <v>0</v>
      </c>
      <c r="T30" t="s">
        <v>577</v>
      </c>
      <c r="U30" s="12" t="s">
        <v>475</v>
      </c>
      <c r="V30">
        <v>10831</v>
      </c>
      <c r="X30" s="11">
        <f>iferror(lookup(if(W30="",G30,W30),{0,1,10,100,250,500,1000},{0.0,0.386,0.268,0.214,0.196,0.191,0.148}),"")</f>
        <v>0</v>
      </c>
      <c r="Y30" s="11">
        <f>iferror(if(W30="",G30,W30)*X30,"")</f>
        <v>0</v>
      </c>
      <c r="Z30" t="s">
        <v>593</v>
      </c>
      <c r="AA30" s="12" t="s">
        <v>475</v>
      </c>
    </row>
    <row r="31" spans="1:27">
      <c r="A31" t="s">
        <v>90</v>
      </c>
      <c r="B31" t="s">
        <v>93</v>
      </c>
      <c r="D31" t="s">
        <v>92</v>
      </c>
      <c r="F31" t="s">
        <v>91</v>
      </c>
      <c r="G31">
        <f>BoardQty*1</f>
        <v>0</v>
      </c>
      <c r="H31" s="11">
        <f>MINA(INDIRECT(ADDRESS(ROW(),COLUMN(newark_part_data)+2)),INDIRECT(ADDRESS(ROW(),COLUMN(digikey_part_data)+2)),INDIRECT(ADDRESS(ROW(),COLUMN(mouser_part_data)+2)))</f>
        <v>0</v>
      </c>
      <c r="I31" s="11">
        <f>iferror(G31*H31,"")</f>
        <v>0</v>
      </c>
      <c r="J31">
        <v>4514</v>
      </c>
      <c r="L31" s="11">
        <f>iferror(lookup(if(K31="",G31,K31),{0,1,10,100,500,1000,5000,10000},{0.0,2.13,1.936,1.659,1.3825,1.185,1.0507,1.027}),"")</f>
        <v>0</v>
      </c>
      <c r="M31" s="11">
        <f>iferror(if(K31="",G31,K31)*L31,"")</f>
        <v>0</v>
      </c>
      <c r="N31" t="s">
        <v>493</v>
      </c>
      <c r="O31" s="12" t="s">
        <v>475</v>
      </c>
      <c r="P31">
        <v>3032</v>
      </c>
      <c r="R31" s="11">
        <f>iferror(lookup(if(Q31="",G31,Q31),{0,1,10,50,100,500,1000,5000,10000},{0.0,2.09,1.91,1.71,1.48,1.35,1.17,1.03,1.01}),"")</f>
        <v>0</v>
      </c>
      <c r="S31" s="11">
        <f>iferror(if(Q31="",G31,Q31)*R31,"")</f>
        <v>0</v>
      </c>
      <c r="T31" t="s">
        <v>578</v>
      </c>
      <c r="U31" s="12" t="s">
        <v>475</v>
      </c>
      <c r="V31">
        <v>133</v>
      </c>
      <c r="X31" s="11">
        <f>iferror(lookup(if(W31="",G31,W31),{0,1,10,100,500,1000,5000,10000},{0.0,2.13,1.93,1.66,1.38,1.19,1.05,1.03}),"")</f>
        <v>0</v>
      </c>
      <c r="Y31" s="11">
        <f>iferror(if(W31="",G31,W31)*X31,"")</f>
        <v>0</v>
      </c>
      <c r="Z31" t="s">
        <v>594</v>
      </c>
      <c r="AA31" s="12" t="s">
        <v>475</v>
      </c>
    </row>
    <row r="32" spans="1:27">
      <c r="A32" t="s">
        <v>94</v>
      </c>
      <c r="B32" t="s">
        <v>96</v>
      </c>
      <c r="D32" t="s">
        <v>12</v>
      </c>
      <c r="F32" t="s">
        <v>95</v>
      </c>
      <c r="G32">
        <f>BoardQty*4</f>
        <v>0</v>
      </c>
      <c r="H32" s="11">
        <f>MINA(INDIRECT(ADDRESS(ROW(),COLUMN(newark_part_data)+2)),INDIRECT(ADDRESS(ROW(),COLUMN(digikey_part_data)+2)),INDIRECT(ADDRESS(ROW(),COLUMN(mouser_part_data)+2)))</f>
        <v>0</v>
      </c>
      <c r="I32" s="11">
        <f>iferror(G32*H32,"")</f>
        <v>0</v>
      </c>
      <c r="J32">
        <v>2989478</v>
      </c>
      <c r="L32" s="11">
        <f>iferror(lookup(if(K32="",G32,K32),{0,1,10,25,100,250,500,1000,2500,5000,10000,25000,50000,125000},{0.0,0.1,0.011,0.008,0.0044,0.00336,0.0027,0.00198,0.00172,0.00129,0.00112,0.00099,0.0009,0.00089}),"")</f>
        <v>0</v>
      </c>
      <c r="M32" s="11">
        <f>iferror(if(K32="",G32,K32)*L32,"")</f>
        <v>0</v>
      </c>
      <c r="N32" t="s">
        <v>494</v>
      </c>
      <c r="O32" s="12" t="s">
        <v>475</v>
      </c>
      <c r="V32">
        <v>6</v>
      </c>
      <c r="X32" s="11">
        <f>iferror(lookup(if(W32="",G32,W32),{0,1,10,25,100,250,1000},{0.0,0.007,0.007,0.006,0.004,0.003,0.002}),"")</f>
        <v>0</v>
      </c>
      <c r="Y32" s="11">
        <f>iferror(if(W32="",G32,W32)*X32,"")</f>
        <v>0</v>
      </c>
      <c r="Z32" t="s">
        <v>595</v>
      </c>
      <c r="AA32" s="12" t="s">
        <v>475</v>
      </c>
    </row>
    <row r="33" spans="1:27">
      <c r="A33" t="s">
        <v>97</v>
      </c>
      <c r="B33" t="s">
        <v>99</v>
      </c>
      <c r="D33" t="s">
        <v>12</v>
      </c>
      <c r="F33" t="s">
        <v>98</v>
      </c>
      <c r="G33">
        <f>BoardQty*2</f>
        <v>0</v>
      </c>
      <c r="H33" s="11">
        <f>MINA(INDIRECT(ADDRESS(ROW(),COLUMN(newark_part_data)+2)),INDIRECT(ADDRESS(ROW(),COLUMN(digikey_part_data)+2)),INDIRECT(ADDRESS(ROW(),COLUMN(mouser_part_data)+2)))</f>
        <v>0</v>
      </c>
      <c r="I33" s="11">
        <f>iferror(G33*H33,"")</f>
        <v>0</v>
      </c>
      <c r="J33">
        <v>706638</v>
      </c>
      <c r="L33" s="11">
        <f>iferror(lookup(if(K33="",G33,K33),{0,1,10,25,100,250,500,1000,2500,5000,10000,25000,50000,125000},{0.0,0.1,0.011,0.008,0.0044,0.00336,0.0027,0.00198,0.00172,0.00129,0.00112,0.00099,0.0009,0.00089}),"")</f>
        <v>0</v>
      </c>
      <c r="M33" s="11">
        <f>iferror(if(K33="",G33,K33)*L33,"")</f>
        <v>0</v>
      </c>
      <c r="N33" t="s">
        <v>495</v>
      </c>
      <c r="O33" s="12" t="s">
        <v>475</v>
      </c>
      <c r="V33">
        <v>8289</v>
      </c>
      <c r="X33" s="11">
        <f>iferror(lookup(if(W33="",G33,W33),{0,1,10,25,100,250,1000},{0.0,0.06,0.01,0.007,0.004,0.003,0.002}),"")</f>
        <v>0</v>
      </c>
      <c r="Y33" s="11">
        <f>iferror(if(W33="",G33,W33)*X33,"")</f>
        <v>0</v>
      </c>
      <c r="Z33" t="s">
        <v>596</v>
      </c>
      <c r="AA33" s="12" t="s">
        <v>475</v>
      </c>
    </row>
    <row r="34" spans="1:27">
      <c r="A34" t="s">
        <v>100</v>
      </c>
      <c r="B34" t="s">
        <v>102</v>
      </c>
      <c r="D34" t="s">
        <v>12</v>
      </c>
      <c r="F34" t="s">
        <v>101</v>
      </c>
      <c r="G34">
        <f>BoardQty*3</f>
        <v>0</v>
      </c>
      <c r="H34" s="11">
        <f>MINA(INDIRECT(ADDRESS(ROW(),COLUMN(newark_part_data)+2)),INDIRECT(ADDRESS(ROW(),COLUMN(digikey_part_data)+2)),INDIRECT(ADDRESS(ROW(),COLUMN(mouser_part_data)+2)))</f>
        <v>0</v>
      </c>
      <c r="I34" s="11">
        <f>iferror(G34*H34,"")</f>
        <v>0</v>
      </c>
      <c r="J34">
        <v>210605</v>
      </c>
      <c r="L34" s="11">
        <f>iferror(lookup(if(K34="",G34,K34),{0,1,10,25,100,250,500,1000,2500,5000,10000,25000,50000,125000},{0.0,0.1,0.011,0.008,0.0044,0.00336,0.0027,0.00198,0.00172,0.00129,0.00112,0.00099,0.0009,0.00089}),"")</f>
        <v>0</v>
      </c>
      <c r="M34" s="11">
        <f>iferror(if(K34="",G34,K34)*L34,"")</f>
        <v>0</v>
      </c>
      <c r="N34" t="s">
        <v>496</v>
      </c>
      <c r="O34" s="12" t="s">
        <v>475</v>
      </c>
      <c r="P34">
        <v>129798</v>
      </c>
      <c r="R34" s="11">
        <f>iferror(lookup(if(Q34="",G34,Q34),{0,1,10,100,1000,5000,50000},{0.0,0.099,0.008,0.003,0.002,0.002,0.001}),"")</f>
        <v>0</v>
      </c>
      <c r="S34" s="11">
        <f>iferror(if(Q34="",G34,Q34)*R34,"")</f>
        <v>0</v>
      </c>
      <c r="T34" t="s">
        <v>579</v>
      </c>
      <c r="U34" s="12" t="s">
        <v>475</v>
      </c>
      <c r="V34">
        <v>11857</v>
      </c>
      <c r="X34" s="11">
        <f>iferror(lookup(if(W34="",G34,W34),{0,1,10,25,100,250,1000},{0.0,0.06,0.01,0.007,0.004,0.003,0.002}),"")</f>
        <v>0</v>
      </c>
      <c r="Y34" s="11">
        <f>iferror(if(W34="",G34,W34)*X34,"")</f>
        <v>0</v>
      </c>
      <c r="Z34" t="s">
        <v>597</v>
      </c>
      <c r="AA34" s="12" t="s">
        <v>475</v>
      </c>
    </row>
    <row r="35" spans="1:27">
      <c r="A35" t="s">
        <v>103</v>
      </c>
      <c r="B35" t="s">
        <v>102</v>
      </c>
      <c r="D35" t="s">
        <v>12</v>
      </c>
      <c r="F35" t="s">
        <v>104</v>
      </c>
      <c r="G35">
        <f>BoardQty*2</f>
        <v>0</v>
      </c>
      <c r="H35" s="11">
        <f>MINA(INDIRECT(ADDRESS(ROW(),COLUMN(newark_part_data)+2)),INDIRECT(ADDRESS(ROW(),COLUMN(digikey_part_data)+2)),INDIRECT(ADDRESS(ROW(),COLUMN(mouser_part_data)+2)))</f>
        <v>0</v>
      </c>
      <c r="I35" s="11">
        <f>iferror(G35*H35,"")</f>
        <v>0</v>
      </c>
      <c r="J35">
        <v>210605</v>
      </c>
      <c r="L35" s="11">
        <f>iferror(lookup(if(K35="",G35,K35),{0,1,10,25,100,250,500,1000,2500,5000,10000,25000,50000,125000},{0.0,0.1,0.011,0.008,0.0044,0.00336,0.0027,0.00198,0.00172,0.00129,0.00112,0.00099,0.0009,0.00089}),"")</f>
        <v>0</v>
      </c>
      <c r="M35" s="11">
        <f>iferror(if(K35="",G35,K35)*L35,"")</f>
        <v>0</v>
      </c>
      <c r="N35" t="s">
        <v>496</v>
      </c>
      <c r="O35" s="12" t="s">
        <v>475</v>
      </c>
      <c r="V35">
        <v>11857</v>
      </c>
      <c r="X35" s="11">
        <f>iferror(lookup(if(W35="",G35,W35),{0,1,10,25,100,250,1000},{0.0,0.06,0.01,0.007,0.004,0.003,0.002}),"")</f>
        <v>0</v>
      </c>
      <c r="Y35" s="11">
        <f>iferror(if(W35="",G35,W35)*X35,"")</f>
        <v>0</v>
      </c>
      <c r="Z35" t="s">
        <v>597</v>
      </c>
      <c r="AA35" s="12" t="s">
        <v>475</v>
      </c>
    </row>
    <row r="36" spans="1:27">
      <c r="A36" t="s">
        <v>105</v>
      </c>
      <c r="B36" t="s">
        <v>107</v>
      </c>
      <c r="D36" t="s">
        <v>106</v>
      </c>
      <c r="G36">
        <f>BoardQty*3</f>
        <v>0</v>
      </c>
      <c r="H36" s="11">
        <f>MINA(INDIRECT(ADDRESS(ROW(),COLUMN(newark_part_data)+2)),INDIRECT(ADDRESS(ROW(),COLUMN(digikey_part_data)+2)),INDIRECT(ADDRESS(ROW(),COLUMN(mouser_part_data)+2)))</f>
        <v>0</v>
      </c>
      <c r="I36" s="11">
        <f>iferror(G36*H36,"")</f>
        <v>0</v>
      </c>
    </row>
    <row r="37" spans="1:27">
      <c r="A37" t="s">
        <v>108</v>
      </c>
      <c r="B37" t="s">
        <v>110</v>
      </c>
      <c r="D37" t="s">
        <v>12</v>
      </c>
      <c r="F37" t="s">
        <v>109</v>
      </c>
      <c r="G37">
        <f>BoardQty*2</f>
        <v>0</v>
      </c>
      <c r="H37" s="11">
        <f>MINA(INDIRECT(ADDRESS(ROW(),COLUMN(newark_part_data)+2)),INDIRECT(ADDRESS(ROW(),COLUMN(digikey_part_data)+2)),INDIRECT(ADDRESS(ROW(),COLUMN(mouser_part_data)+2)))</f>
        <v>0</v>
      </c>
      <c r="I37" s="11">
        <f>iferror(G37*H37,"")</f>
        <v>0</v>
      </c>
      <c r="J37">
        <v>2159307</v>
      </c>
      <c r="L37" s="11">
        <f>iferror(lookup(if(K37="",G37,K37),{0,1,10,25,100,250,500,1000,2500,5000,10000,25000,50000,125000},{0.0,0.1,0.011,0.008,0.0044,0.00336,0.0027,0.00198,0.00172,0.00129,0.00112,0.00099,0.0009,0.00089}),"")</f>
        <v>0</v>
      </c>
      <c r="M37" s="11">
        <f>iferror(if(K37="",G37,K37)*L37,"")</f>
        <v>0</v>
      </c>
      <c r="N37" t="s">
        <v>497</v>
      </c>
      <c r="O37" s="12" t="s">
        <v>475</v>
      </c>
      <c r="AA37" s="12" t="s">
        <v>475</v>
      </c>
    </row>
    <row r="38" spans="1:27">
      <c r="A38" t="s">
        <v>111</v>
      </c>
      <c r="B38" t="s">
        <v>113</v>
      </c>
      <c r="D38" t="s">
        <v>35</v>
      </c>
      <c r="F38" t="s">
        <v>112</v>
      </c>
      <c r="G38">
        <f>BoardQty*1</f>
        <v>0</v>
      </c>
      <c r="H38" s="11">
        <f>MINA(INDIRECT(ADDRESS(ROW(),COLUMN(newark_part_data)+2)),INDIRECT(ADDRESS(ROW(),COLUMN(digikey_part_data)+2)),INDIRECT(ADDRESS(ROW(),COLUMN(mouser_part_data)+2)))</f>
        <v>0</v>
      </c>
      <c r="I38" s="11">
        <f>iferror(G38*H38,"")</f>
        <v>0</v>
      </c>
      <c r="J38">
        <v>4911</v>
      </c>
      <c r="L38" s="11">
        <f>iferror(lookup(if(K38="",G38,K38),{0,1,10,50,100,250,500,750,1250,2500,6250,12500},{0.0,1.09,0.968,0.904,0.8,0.76,0.72,0.68,0.6,0.58,0.56,0.54}),"")</f>
        <v>0</v>
      </c>
      <c r="M38" s="11">
        <f>iferror(if(K38="",G38,K38)*L38,"")</f>
        <v>0</v>
      </c>
      <c r="N38" t="s">
        <v>498</v>
      </c>
      <c r="O38" s="12" t="s">
        <v>475</v>
      </c>
    </row>
    <row r="39" spans="1:27">
      <c r="A39" t="s">
        <v>114</v>
      </c>
      <c r="B39" t="s">
        <v>116</v>
      </c>
      <c r="D39" t="s">
        <v>12</v>
      </c>
      <c r="F39" t="s">
        <v>115</v>
      </c>
      <c r="G39">
        <f>BoardQty*1</f>
        <v>0</v>
      </c>
      <c r="H39" s="11">
        <f>MINA(INDIRECT(ADDRESS(ROW(),COLUMN(newark_part_data)+2)),INDIRECT(ADDRESS(ROW(),COLUMN(digikey_part_data)+2)),INDIRECT(ADDRESS(ROW(),COLUMN(mouser_part_data)+2)))</f>
        <v>0</v>
      </c>
      <c r="I39" s="11">
        <f>iferror(G39*H39,"")</f>
        <v>0</v>
      </c>
      <c r="J39">
        <v>6742804</v>
      </c>
      <c r="L39" s="11">
        <f>iferror(lookup(if(K39="",G39,K39),{0,1,10,25,100,250,500,1000,2500,5000,10000,25000,50000,125000},{0.0,0.1,0.011,0.008,0.0045,0.00348,0.00278,0.00204,0.00177,0.00133,0.00116,0.00102,0.00093,0.00091}),"")</f>
        <v>0</v>
      </c>
      <c r="M39" s="11">
        <f>iferror(if(K39="",G39,K39)*L39,"")</f>
        <v>0</v>
      </c>
      <c r="N39" t="s">
        <v>499</v>
      </c>
      <c r="O39" s="12" t="s">
        <v>475</v>
      </c>
      <c r="V39">
        <v>4139</v>
      </c>
      <c r="X39" s="11">
        <f>iferror(lookup(if(W39="",G39,W39),{0,1,10,25,100,250,1000},{0.0,0.06,0.01,0.007,0.004,0.003,0.002}),"")</f>
        <v>0</v>
      </c>
      <c r="Y39" s="11">
        <f>iferror(if(W39="",G39,W39)*X39,"")</f>
        <v>0</v>
      </c>
      <c r="Z39" t="s">
        <v>598</v>
      </c>
      <c r="AA39" s="12" t="s">
        <v>475</v>
      </c>
    </row>
    <row r="40" spans="1:27">
      <c r="A40" t="s">
        <v>117</v>
      </c>
      <c r="B40" t="s">
        <v>119</v>
      </c>
      <c r="D40" t="s">
        <v>82</v>
      </c>
      <c r="F40" t="s">
        <v>118</v>
      </c>
      <c r="G40">
        <f>BoardQty*1</f>
        <v>0</v>
      </c>
      <c r="H40" s="11">
        <f>MINA(INDIRECT(ADDRESS(ROW(),COLUMN(newark_part_data)+2)),INDIRECT(ADDRESS(ROW(),COLUMN(digikey_part_data)+2)),INDIRECT(ADDRESS(ROW(),COLUMN(mouser_part_data)+2)))</f>
        <v>0</v>
      </c>
      <c r="I40" s="11">
        <f>iferror(G40*H40,"")</f>
        <v>0</v>
      </c>
      <c r="J40">
        <v>92024</v>
      </c>
      <c r="L40" s="11">
        <f>iferror(lookup(if(K40="",G40,K40),{0,1,10,50,100,250,500,1000,4000,8000,12000,28000,100000},{0.0,0.2,0.135,0.081,0.0684,0.0558,0.0468,0.0414,0.036,0.0342,0.0324,0.0306,0.0243}),"")</f>
        <v>0</v>
      </c>
      <c r="M40" s="11">
        <f>iferror(if(K40="",G40,K40)*L40,"")</f>
        <v>0</v>
      </c>
      <c r="N40" t="s">
        <v>500</v>
      </c>
      <c r="O40" s="12" t="s">
        <v>475</v>
      </c>
      <c r="V40">
        <v>3436</v>
      </c>
      <c r="X40" s="11">
        <f>iferror(lookup(if(W40="",G40,W40),{0,1,10,50,100,250,500,1000},{0.0,0.334,0.28,0.167,0.147,0.112,0.097,0.082}),"")</f>
        <v>0</v>
      </c>
      <c r="Y40" s="11">
        <f>iferror(if(W40="",G40,W40)*X40,"")</f>
        <v>0</v>
      </c>
      <c r="Z40" t="s">
        <v>599</v>
      </c>
      <c r="AA40" s="12" t="s">
        <v>475</v>
      </c>
    </row>
    <row r="41" spans="1:27">
      <c r="A41" t="s">
        <v>120</v>
      </c>
      <c r="B41" t="s">
        <v>123</v>
      </c>
      <c r="D41" t="s">
        <v>122</v>
      </c>
      <c r="F41" t="s">
        <v>121</v>
      </c>
      <c r="G41">
        <f>BoardQty*1</f>
        <v>0</v>
      </c>
      <c r="H41" s="11">
        <f>MINA(INDIRECT(ADDRESS(ROW(),COLUMN(newark_part_data)+2)),INDIRECT(ADDRESS(ROW(),COLUMN(digikey_part_data)+2)),INDIRECT(ADDRESS(ROW(),COLUMN(mouser_part_data)+2)))</f>
        <v>0</v>
      </c>
      <c r="I41" s="11">
        <f>iferror(G41*H41,"")</f>
        <v>0</v>
      </c>
      <c r="J41">
        <v>19514</v>
      </c>
      <c r="L41" s="11">
        <f>iferror(lookup(if(K41="",G41,K41),{0,1,10,25,50,100,400,800,1200,2000,4000,10000,20000,40000},{0.0,1.07,0.895,0.7712,0.7236,0.5712,0.39985,0.31416,0.29512,0.27608,0.2618,0.25228,0.24809,0.24276}),"")</f>
        <v>0</v>
      </c>
      <c r="M41" s="11">
        <f>iferror(if(K41="",G41,K41)*L41,"")</f>
        <v>0</v>
      </c>
      <c r="N41" t="s">
        <v>501</v>
      </c>
      <c r="O41" s="12" t="s">
        <v>475</v>
      </c>
      <c r="V41">
        <v>759</v>
      </c>
      <c r="X41" s="11">
        <f>iferror(lookup(if(W41="",G41,W41),{0,1,10,25,50,100,250},{0.0,1.32,1.11,0.952,0.893,0.705,0.543}),"")</f>
        <v>0</v>
      </c>
      <c r="Y41" s="11">
        <f>iferror(if(W41="",G41,W41)*X41,"")</f>
        <v>0</v>
      </c>
      <c r="Z41" t="s">
        <v>600</v>
      </c>
      <c r="AA41" s="12" t="s">
        <v>475</v>
      </c>
    </row>
    <row r="42" spans="1:27">
      <c r="A42" t="s">
        <v>124</v>
      </c>
      <c r="B42" t="s">
        <v>126</v>
      </c>
      <c r="D42" t="s">
        <v>125</v>
      </c>
      <c r="G42">
        <f>BoardQty*1</f>
        <v>0</v>
      </c>
      <c r="H42" s="11">
        <f>MINA(INDIRECT(ADDRESS(ROW(),COLUMN(newark_part_data)+2)),INDIRECT(ADDRESS(ROW(),COLUMN(digikey_part_data)+2)),INDIRECT(ADDRESS(ROW(),COLUMN(mouser_part_data)+2)))</f>
        <v>0</v>
      </c>
      <c r="I42" s="11">
        <f>iferror(G42*H42,"")</f>
        <v>0</v>
      </c>
    </row>
    <row r="43" spans="1:27">
      <c r="A43" t="s">
        <v>127</v>
      </c>
      <c r="B43" t="s">
        <v>130</v>
      </c>
      <c r="D43" t="s">
        <v>129</v>
      </c>
      <c r="F43" t="s">
        <v>128</v>
      </c>
      <c r="G43">
        <f>BoardQty*1</f>
        <v>0</v>
      </c>
      <c r="H43" s="11">
        <f>MINA(INDIRECT(ADDRESS(ROW(),COLUMN(newark_part_data)+2)),INDIRECT(ADDRESS(ROW(),COLUMN(digikey_part_data)+2)),INDIRECT(ADDRESS(ROW(),COLUMN(mouser_part_data)+2)))</f>
        <v>0</v>
      </c>
      <c r="I43" s="11">
        <f>iferror(G43*H43,"")</f>
        <v>0</v>
      </c>
      <c r="J43">
        <v>10550</v>
      </c>
      <c r="L43" s="11">
        <f>iferror(lookup(if(K43="",G43,K43),{0,1,10,25,100,250,500,1000,2000,6000,10000,50000,100000},{0.0,0.41,0.297,0.2276,0.1485,0.10892,0.0924,0.0759,0.06,0.054,0.048,0.0405,0.039}),"")</f>
        <v>0</v>
      </c>
      <c r="M43" s="11">
        <f>iferror(if(K43="",G43,K43)*L43,"")</f>
        <v>0</v>
      </c>
      <c r="N43" t="s">
        <v>502</v>
      </c>
      <c r="O43" s="12" t="s">
        <v>475</v>
      </c>
    </row>
    <row r="44" spans="1:27">
      <c r="A44" t="s">
        <v>131</v>
      </c>
      <c r="B44" t="s">
        <v>133</v>
      </c>
      <c r="F44" t="s">
        <v>132</v>
      </c>
      <c r="G44">
        <f>BoardQty*1</f>
        <v>0</v>
      </c>
      <c r="H44" s="11">
        <f>MINA(INDIRECT(ADDRESS(ROW(),COLUMN(newark_part_data)+2)),INDIRECT(ADDRESS(ROW(),COLUMN(digikey_part_data)+2)),INDIRECT(ADDRESS(ROW(),COLUMN(mouser_part_data)+2)))</f>
        <v>0</v>
      </c>
      <c r="I44" s="11">
        <f>iferror(G44*H44,"")</f>
        <v>0</v>
      </c>
      <c r="J44">
        <v>15384</v>
      </c>
      <c r="L44" s="11">
        <f>iferror(lookup(if(K44="",G44,K44),{0,1,10,25,50,100,500,1000,4000,8000,12000,28000,100000},{0.0,0.1,0.048,0.034,0.0262,0.0221,0.01548,0.01206,0.00925,0.00844,0.00804,0.00764,0.00553}),"")</f>
        <v>0</v>
      </c>
      <c r="M44" s="11">
        <f>iferror(if(K44="",G44,K44)*L44,"")</f>
        <v>0</v>
      </c>
      <c r="N44" t="s">
        <v>503</v>
      </c>
      <c r="O44" s="12" t="s">
        <v>475</v>
      </c>
      <c r="V44">
        <v>15316</v>
      </c>
      <c r="X44" s="11">
        <f>iferror(lookup(if(W44="",G44,W44),{0,1,10,50,100,250,500,1000},{0.0,0.076,0.033,0.023,0.014,0.012,0.01,0.008}),"")</f>
        <v>0</v>
      </c>
      <c r="Y44" s="11">
        <f>iferror(if(W44="",G44,W44)*X44,"")</f>
        <v>0</v>
      </c>
      <c r="Z44" t="s">
        <v>601</v>
      </c>
      <c r="AA44" s="12" t="s">
        <v>475</v>
      </c>
    </row>
    <row r="45" spans="1:27">
      <c r="A45" t="s">
        <v>134</v>
      </c>
      <c r="B45" t="s">
        <v>136</v>
      </c>
      <c r="D45" t="s">
        <v>12</v>
      </c>
      <c r="F45" t="s">
        <v>135</v>
      </c>
      <c r="G45">
        <f>BoardQty*13</f>
        <v>0</v>
      </c>
      <c r="H45" s="11">
        <f>MINA(INDIRECT(ADDRESS(ROW(),COLUMN(newark_part_data)+2)),INDIRECT(ADDRESS(ROW(),COLUMN(digikey_part_data)+2)),INDIRECT(ADDRESS(ROW(),COLUMN(mouser_part_data)+2)))</f>
        <v>0</v>
      </c>
      <c r="I45" s="11">
        <f>iferror(G45*H45,"")</f>
        <v>0</v>
      </c>
      <c r="J45">
        <v>30257</v>
      </c>
      <c r="L45" s="11">
        <f>iferror(lookup(if(K45="",G45,K45),{0,1,10,25,50,100,250,500,1000,5000,10000,25000,50000,125000},{0.0,0.4,0.303,0.2304,0.1712,0.1273,0.10752,0.09216,0.07022,0.05686,0.05426,0.05199,0.05087,0.04988}),"")</f>
        <v>0</v>
      </c>
      <c r="M45" s="11">
        <f>iferror(if(K45="",G45,K45)*L45,"")</f>
        <v>0</v>
      </c>
      <c r="N45" t="s">
        <v>504</v>
      </c>
      <c r="O45" s="12" t="s">
        <v>475</v>
      </c>
      <c r="AA45" s="12" t="s">
        <v>475</v>
      </c>
    </row>
    <row r="46" spans="1:27">
      <c r="A46" t="s">
        <v>137</v>
      </c>
      <c r="B46" t="s">
        <v>139</v>
      </c>
      <c r="D46" t="s">
        <v>69</v>
      </c>
      <c r="F46" t="s">
        <v>138</v>
      </c>
      <c r="G46">
        <f>BoardQty*1</f>
        <v>0</v>
      </c>
      <c r="H46" s="11">
        <f>MINA(INDIRECT(ADDRESS(ROW(),COLUMN(newark_part_data)+2)),INDIRECT(ADDRESS(ROW(),COLUMN(digikey_part_data)+2)),INDIRECT(ADDRESS(ROW(),COLUMN(mouser_part_data)+2)))</f>
        <v>0</v>
      </c>
      <c r="I46" s="11">
        <f>iferror(G46*H46,"")</f>
        <v>0</v>
      </c>
      <c r="J46">
        <v>2236244</v>
      </c>
      <c r="L46" s="11">
        <f>iferror(lookup(if(K46="",G46,K46),{0,1,10,50,100,250,500,1000,4000,8000,12000,28000,100000},{0.0,0.1,0.019,0.0104,0.0088,0.0072,0.00616,0.0048,0.00368,0.00336,0.0032,0.00304,0.0022}),"")</f>
        <v>0</v>
      </c>
      <c r="M46" s="11">
        <f>iferror(if(K46="",G46,K46)*L46,"")</f>
        <v>0</v>
      </c>
      <c r="N46" t="s">
        <v>505</v>
      </c>
      <c r="O46" s="12" t="s">
        <v>475</v>
      </c>
      <c r="V46">
        <v>2042</v>
      </c>
      <c r="X46" s="11">
        <f>iferror(lookup(if(W46="",G46,W46),{0,1,10,25,50,100,250,1000},{0.0,0.1,0.024,0.015,0.012,0.01,0.009,0.006}),"")</f>
        <v>0</v>
      </c>
      <c r="Y46" s="11">
        <f>iferror(if(W46="",G46,W46)*X46,"")</f>
        <v>0</v>
      </c>
      <c r="Z46" t="s">
        <v>602</v>
      </c>
      <c r="AA46" s="12" t="s">
        <v>475</v>
      </c>
    </row>
    <row r="47" spans="1:27">
      <c r="A47" t="s">
        <v>140</v>
      </c>
      <c r="B47" t="s">
        <v>142</v>
      </c>
      <c r="D47" t="s">
        <v>12</v>
      </c>
      <c r="F47" t="s">
        <v>141</v>
      </c>
      <c r="G47">
        <f>BoardQty*1</f>
        <v>0</v>
      </c>
      <c r="H47" s="11">
        <f>MINA(INDIRECT(ADDRESS(ROW(),COLUMN(newark_part_data)+2)),INDIRECT(ADDRESS(ROW(),COLUMN(digikey_part_data)+2)),INDIRECT(ADDRESS(ROW(),COLUMN(mouser_part_data)+2)))</f>
        <v>0</v>
      </c>
      <c r="I47" s="11">
        <f>iferror(G47*H47,"")</f>
        <v>0</v>
      </c>
      <c r="J47">
        <v>80837</v>
      </c>
      <c r="L47" s="11">
        <f>iferror(lookup(if(K47="",G47,K47),{0,1,50,100,250,500,1000,5000,10000,25000,50000,125000},{0.0,0.63,0.2494,0.1924,0.14964,0.10546,0.07695,0.04275,0.0399,0.03791,0.03714,0.03634}),"")</f>
        <v>0</v>
      </c>
      <c r="M47" s="11">
        <f>iferror(if(K47="",G47,K47)*L47,"")</f>
        <v>0</v>
      </c>
      <c r="N47" t="s">
        <v>506</v>
      </c>
      <c r="O47" s="12" t="s">
        <v>475</v>
      </c>
      <c r="V47">
        <v>2473</v>
      </c>
      <c r="X47" s="11">
        <f>iferror(lookup(if(W47="",G47,W47),{0,1,50,100,250,500,1000},{0.0,0.631,0.249,0.192,0.149,0.105,0.077}),"")</f>
        <v>0</v>
      </c>
      <c r="Y47" s="11">
        <f>iferror(if(W47="",G47,W47)*X47,"")</f>
        <v>0</v>
      </c>
      <c r="Z47" t="s">
        <v>603</v>
      </c>
      <c r="AA47" s="12" t="s">
        <v>475</v>
      </c>
    </row>
    <row r="48" spans="1:27">
      <c r="A48" t="s">
        <v>143</v>
      </c>
      <c r="B48" t="s">
        <v>145</v>
      </c>
      <c r="D48" t="s">
        <v>144</v>
      </c>
      <c r="G48">
        <f>BoardQty*1</f>
        <v>0</v>
      </c>
      <c r="H48" s="11">
        <f>MINA(INDIRECT(ADDRESS(ROW(),COLUMN(newark_part_data)+2)),INDIRECT(ADDRESS(ROW(),COLUMN(digikey_part_data)+2)),INDIRECT(ADDRESS(ROW(),COLUMN(mouser_part_data)+2)))</f>
        <v>0</v>
      </c>
      <c r="I48" s="11">
        <f>iferror(G48*H48,"")</f>
        <v>0</v>
      </c>
    </row>
    <row r="49" spans="1:27">
      <c r="A49" t="s">
        <v>146</v>
      </c>
      <c r="B49" t="s">
        <v>148</v>
      </c>
      <c r="D49" t="s">
        <v>12</v>
      </c>
      <c r="F49" t="s">
        <v>147</v>
      </c>
      <c r="G49">
        <f>BoardQty*1</f>
        <v>0</v>
      </c>
      <c r="H49" s="11">
        <f>MINA(INDIRECT(ADDRESS(ROW(),COLUMN(newark_part_data)+2)),INDIRECT(ADDRESS(ROW(),COLUMN(digikey_part_data)+2)),INDIRECT(ADDRESS(ROW(),COLUMN(mouser_part_data)+2)))</f>
        <v>0</v>
      </c>
      <c r="I49" s="11">
        <f>iferror(G49*H49,"")</f>
        <v>0</v>
      </c>
      <c r="J49">
        <v>2464497</v>
      </c>
      <c r="L49" s="11">
        <f>iferror(lookup(if(K49="",G49,K49),{0,1,10,25,100,250,500,1000,2500,5000,10000,25000,50000,125000},{0.0,0.1,0.011,0.008,0.0044,0.00336,0.0027,0.00198,0.00172,0.00129,0.00112,0.00099,0.0009,0.00089}),"")</f>
        <v>0</v>
      </c>
      <c r="M49" s="11">
        <f>iferror(if(K49="",G49,K49)*L49,"")</f>
        <v>0</v>
      </c>
      <c r="N49" t="s">
        <v>507</v>
      </c>
      <c r="O49" s="12" t="s">
        <v>475</v>
      </c>
      <c r="V49">
        <v>7188</v>
      </c>
      <c r="X49" s="11">
        <f>iferror(lookup(if(W49="",G49,W49),{0,1,10,25,100,250,1000},{0.0,0.06,0.01,0.007,0.004,0.003,0.002}),"")</f>
        <v>0</v>
      </c>
      <c r="Y49" s="11">
        <f>iferror(if(W49="",G49,W49)*X49,"")</f>
        <v>0</v>
      </c>
      <c r="Z49" t="s">
        <v>604</v>
      </c>
      <c r="AA49" s="12" t="s">
        <v>475</v>
      </c>
    </row>
    <row r="50" spans="1:27">
      <c r="A50" t="s">
        <v>149</v>
      </c>
      <c r="B50" t="s">
        <v>148</v>
      </c>
      <c r="D50" t="s">
        <v>12</v>
      </c>
      <c r="F50" t="s">
        <v>150</v>
      </c>
      <c r="G50">
        <f>BoardQty*2</f>
        <v>0</v>
      </c>
      <c r="H50" s="11">
        <f>MINA(INDIRECT(ADDRESS(ROW(),COLUMN(newark_part_data)+2)),INDIRECT(ADDRESS(ROW(),COLUMN(digikey_part_data)+2)),INDIRECT(ADDRESS(ROW(),COLUMN(mouser_part_data)+2)))</f>
        <v>0</v>
      </c>
      <c r="I50" s="11">
        <f>iferror(G50*H50,"")</f>
        <v>0</v>
      </c>
      <c r="J50">
        <v>2464497</v>
      </c>
      <c r="L50" s="11">
        <f>iferror(lookup(if(K50="",G50,K50),{0,1,10,25,100,250,500,1000,2500,5000,10000,25000,50000,125000},{0.0,0.1,0.011,0.008,0.0044,0.00336,0.0027,0.00198,0.00172,0.00129,0.00112,0.00099,0.0009,0.00089}),"")</f>
        <v>0</v>
      </c>
      <c r="M50" s="11">
        <f>iferror(if(K50="",G50,K50)*L50,"")</f>
        <v>0</v>
      </c>
      <c r="N50" t="s">
        <v>507</v>
      </c>
      <c r="O50" s="12" t="s">
        <v>475</v>
      </c>
      <c r="V50">
        <v>7188</v>
      </c>
      <c r="X50" s="11">
        <f>iferror(lookup(if(W50="",G50,W50),{0,1,10,25,100,250,1000},{0.0,0.06,0.01,0.007,0.004,0.003,0.002}),"")</f>
        <v>0</v>
      </c>
      <c r="Y50" s="11">
        <f>iferror(if(W50="",G50,W50)*X50,"")</f>
        <v>0</v>
      </c>
      <c r="Z50" t="s">
        <v>604</v>
      </c>
      <c r="AA50" s="12" t="s">
        <v>475</v>
      </c>
    </row>
    <row r="51" spans="1:27">
      <c r="A51" t="s">
        <v>151</v>
      </c>
      <c r="B51" t="s">
        <v>154</v>
      </c>
      <c r="D51" t="s">
        <v>153</v>
      </c>
      <c r="F51" t="s">
        <v>152</v>
      </c>
      <c r="G51">
        <f>BoardQty*1</f>
        <v>0</v>
      </c>
      <c r="H51" s="11">
        <f>MINA(INDIRECT(ADDRESS(ROW(),COLUMN(newark_part_data)+2)),INDIRECT(ADDRESS(ROW(),COLUMN(digikey_part_data)+2)),INDIRECT(ADDRESS(ROW(),COLUMN(mouser_part_data)+2)))</f>
        <v>0</v>
      </c>
      <c r="I51" s="11">
        <f>iferror(G51*H51,"")</f>
        <v>0</v>
      </c>
      <c r="J51">
        <v>14723</v>
      </c>
      <c r="L51" s="11">
        <f>iferror(lookup(if(K51="",G51,K51),{0,1,10,100,500,1000,3000,6000,15000,30000,75000,150000},{0.0,0.5,0.426,0.3179,0.2497,0.1925,0.1705,0.1595,0.1485,0.1408,0.1375,0.132}),"")</f>
        <v>0</v>
      </c>
      <c r="M51" s="11">
        <f>iferror(if(K51="",G51,K51)*L51,"")</f>
        <v>0</v>
      </c>
      <c r="N51" t="s">
        <v>508</v>
      </c>
      <c r="O51" s="12" t="s">
        <v>475</v>
      </c>
      <c r="V51">
        <v>6474</v>
      </c>
      <c r="X51" s="11">
        <f>iferror(lookup(if(W51="",G51,W51),{0,1,10,100,250,500,1000},{0.0,0.374,0.325,0.26,0.226,0.189,0.156}),"")</f>
        <v>0</v>
      </c>
      <c r="Y51" s="11">
        <f>iferror(if(W51="",G51,W51)*X51,"")</f>
        <v>0</v>
      </c>
      <c r="Z51" t="s">
        <v>605</v>
      </c>
      <c r="AA51" s="12" t="s">
        <v>475</v>
      </c>
    </row>
    <row r="52" spans="1:27">
      <c r="A52" t="s">
        <v>155</v>
      </c>
      <c r="B52" t="s">
        <v>157</v>
      </c>
      <c r="D52" t="s">
        <v>69</v>
      </c>
      <c r="F52" t="s">
        <v>156</v>
      </c>
      <c r="G52">
        <f>BoardQty*1</f>
        <v>0</v>
      </c>
      <c r="H52" s="11">
        <f>MINA(INDIRECT(ADDRESS(ROW(),COLUMN(newark_part_data)+2)),INDIRECT(ADDRESS(ROW(),COLUMN(digikey_part_data)+2)),INDIRECT(ADDRESS(ROW(),COLUMN(mouser_part_data)+2)))</f>
        <v>0</v>
      </c>
      <c r="I52" s="11">
        <f>iferror(G52*H52,"")</f>
        <v>0</v>
      </c>
      <c r="J52">
        <v>613531</v>
      </c>
      <c r="L52" s="11">
        <f>iferror(lookup(if(K52="",G52,K52),{0,1,10,50,100,250,500,1000,5000,15000,30000,75000,105000},{0.0,0.1,0.014,0.0078,0.0066,0.0054,0.00462,0.0036,0.003,0.0024,0.00228,0.00204,0.00165}),"")</f>
        <v>0</v>
      </c>
      <c r="M52" s="11">
        <f>iferror(if(K52="",G52,K52)*L52,"")</f>
        <v>0</v>
      </c>
      <c r="N52" t="s">
        <v>509</v>
      </c>
      <c r="O52" s="12" t="s">
        <v>475</v>
      </c>
      <c r="AA52" s="12" t="s">
        <v>475</v>
      </c>
    </row>
    <row r="53" spans="1:27">
      <c r="A53" t="s">
        <v>158</v>
      </c>
      <c r="B53" t="s">
        <v>49</v>
      </c>
      <c r="D53" t="s">
        <v>160</v>
      </c>
      <c r="F53" t="s">
        <v>159</v>
      </c>
      <c r="G53">
        <f>BoardQty*1</f>
        <v>0</v>
      </c>
      <c r="H53" s="11">
        <f>MINA(INDIRECT(ADDRESS(ROW(),COLUMN(newark_part_data)+2)),INDIRECT(ADDRESS(ROW(),COLUMN(digikey_part_data)+2)),INDIRECT(ADDRESS(ROW(),COLUMN(mouser_part_data)+2)))</f>
        <v>0</v>
      </c>
      <c r="I53" s="11">
        <f>iferror(G53*H53,"")</f>
        <v>0</v>
      </c>
      <c r="J53">
        <v>205821</v>
      </c>
      <c r="L53" s="11">
        <f>iferror(lookup(if(K53="",G53,K53),{0,1,50,100,250,500,1000,5000,10000,25000,50000,125000},{0.0,0.1,0.0212,0.0156,0.01188,0.0095,0.007,0.00456,0.00396,0.00348,0.00319,0.00313}),"")</f>
        <v>0</v>
      </c>
      <c r="M53" s="11">
        <f>iferror(if(K53="",G53,K53)*L53,"")</f>
        <v>0</v>
      </c>
      <c r="N53" t="s">
        <v>510</v>
      </c>
      <c r="O53" s="12" t="s">
        <v>475</v>
      </c>
      <c r="V53">
        <v>25849</v>
      </c>
      <c r="X53" s="11">
        <f>iferror(lookup(if(W53="",G53,W53),{0,1,50,100,250,500,1000,2500},{0.0,0.088,0.025,0.019,0.014,0.011,0.007,0.006}),"")</f>
        <v>0</v>
      </c>
      <c r="Y53" s="11">
        <f>iferror(if(W53="",G53,W53)*X53,"")</f>
        <v>0</v>
      </c>
      <c r="Z53" t="s">
        <v>606</v>
      </c>
      <c r="AA53" s="12" t="s">
        <v>475</v>
      </c>
    </row>
    <row r="54" spans="1:27">
      <c r="A54" t="s">
        <v>161</v>
      </c>
      <c r="B54" t="s">
        <v>163</v>
      </c>
      <c r="D54" t="s">
        <v>12</v>
      </c>
      <c r="F54" t="s">
        <v>162</v>
      </c>
      <c r="G54">
        <f>BoardQty*1</f>
        <v>0</v>
      </c>
      <c r="H54" s="11">
        <f>MINA(INDIRECT(ADDRESS(ROW(),COLUMN(newark_part_data)+2)),INDIRECT(ADDRESS(ROW(),COLUMN(digikey_part_data)+2)),INDIRECT(ADDRESS(ROW(),COLUMN(mouser_part_data)+2)))</f>
        <v>0</v>
      </c>
      <c r="I54" s="11">
        <f>iferror(G54*H54,"")</f>
        <v>0</v>
      </c>
      <c r="J54">
        <v>5595588</v>
      </c>
      <c r="L54" s="11">
        <f>iferror(lookup(if(K54="",G54,K54),{0,1,10,25,100,250,500,1000,2500,5000,10000,25000,50000,125000},{0.0,0.1,0.011,0.008,0.0044,0.00336,0.0027,0.00198,0.00172,0.00129,0.00112,0.00099,0.0009,0.00089}),"")</f>
        <v>0</v>
      </c>
      <c r="M54" s="11">
        <f>iferror(if(K54="",G54,K54)*L54,"")</f>
        <v>0</v>
      </c>
      <c r="N54" t="s">
        <v>511</v>
      </c>
      <c r="O54" s="12" t="s">
        <v>475</v>
      </c>
      <c r="V54">
        <v>4313</v>
      </c>
      <c r="X54" s="11">
        <f>iferror(lookup(if(W54="",G54,W54),{0,1,10,25,100,250,1000},{0.0,0.06,0.01,0.007,0.004,0.003,0.002}),"")</f>
        <v>0</v>
      </c>
      <c r="Y54" s="11">
        <f>iferror(if(W54="",G54,W54)*X54,"")</f>
        <v>0</v>
      </c>
      <c r="Z54" t="s">
        <v>607</v>
      </c>
      <c r="AA54" s="12" t="s">
        <v>475</v>
      </c>
    </row>
    <row r="55" spans="1:27">
      <c r="A55" t="s">
        <v>164</v>
      </c>
      <c r="B55" t="s">
        <v>163</v>
      </c>
      <c r="D55" t="s">
        <v>12</v>
      </c>
      <c r="F55" t="s">
        <v>165</v>
      </c>
      <c r="G55">
        <f>BoardQty*4</f>
        <v>0</v>
      </c>
      <c r="H55" s="11">
        <f>MINA(INDIRECT(ADDRESS(ROW(),COLUMN(newark_part_data)+2)),INDIRECT(ADDRESS(ROW(),COLUMN(digikey_part_data)+2)),INDIRECT(ADDRESS(ROW(),COLUMN(mouser_part_data)+2)))</f>
        <v>0</v>
      </c>
      <c r="I55" s="11">
        <f>iferror(G55*H55,"")</f>
        <v>0</v>
      </c>
      <c r="J55">
        <v>5595588</v>
      </c>
      <c r="L55" s="11">
        <f>iferror(lookup(if(K55="",G55,K55),{0,1,10,25,100,250,500,1000,2500,5000,10000,25000,50000,125000},{0.0,0.1,0.011,0.008,0.0044,0.00336,0.0027,0.00198,0.00172,0.00129,0.00112,0.00099,0.0009,0.00089}),"")</f>
        <v>0</v>
      </c>
      <c r="M55" s="11">
        <f>iferror(if(K55="",G55,K55)*L55,"")</f>
        <v>0</v>
      </c>
      <c r="N55" t="s">
        <v>511</v>
      </c>
      <c r="O55" s="12" t="s">
        <v>475</v>
      </c>
      <c r="V55">
        <v>4313</v>
      </c>
      <c r="X55" s="11">
        <f>iferror(lookup(if(W55="",G55,W55),{0,1,10,25,100,250,1000},{0.0,0.06,0.01,0.007,0.004,0.003,0.002}),"")</f>
        <v>0</v>
      </c>
      <c r="Y55" s="11">
        <f>iferror(if(W55="",G55,W55)*X55,"")</f>
        <v>0</v>
      </c>
      <c r="Z55" t="s">
        <v>607</v>
      </c>
      <c r="AA55" s="12" t="s">
        <v>475</v>
      </c>
    </row>
    <row r="56" spans="1:27">
      <c r="A56" t="s">
        <v>166</v>
      </c>
      <c r="B56" t="s">
        <v>169</v>
      </c>
      <c r="D56" t="s">
        <v>168</v>
      </c>
      <c r="F56" t="s">
        <v>167</v>
      </c>
      <c r="G56">
        <f>BoardQty*1</f>
        <v>0</v>
      </c>
      <c r="H56" s="11">
        <f>MINA(INDIRECT(ADDRESS(ROW(),COLUMN(newark_part_data)+2)),INDIRECT(ADDRESS(ROW(),COLUMN(digikey_part_data)+2)),INDIRECT(ADDRESS(ROW(),COLUMN(mouser_part_data)+2)))</f>
        <v>0</v>
      </c>
      <c r="I56" s="11">
        <f>iferror(G56*H56,"")</f>
        <v>0</v>
      </c>
      <c r="J56">
        <v>5539</v>
      </c>
      <c r="L56" s="11">
        <f>iferror(lookup(if(K56="",G56,K56),{0,1,10,25,50,100,250,500,2500},{0.0,6.49,6.12,4.896,4.6512,4.284,4.06368,3.9168,2.9376}),"")</f>
        <v>0</v>
      </c>
      <c r="M56" s="11">
        <f>iferror(if(K56="",G56,K56)*L56,"")</f>
        <v>0</v>
      </c>
      <c r="N56" t="s">
        <v>512</v>
      </c>
      <c r="O56" s="12" t="s">
        <v>475</v>
      </c>
      <c r="V56">
        <v>2039</v>
      </c>
      <c r="X56" s="11">
        <f>iferror(lookup(if(W56="",G56,W56),{0,1,10,25,50,100,250,500},{0.0,6.85,6.46,5.18,4.92,4.52,4.28,4.15}),"")</f>
        <v>0</v>
      </c>
      <c r="Y56" s="11">
        <f>iferror(if(W56="",G56,W56)*X56,"")</f>
        <v>0</v>
      </c>
      <c r="Z56" t="s">
        <v>608</v>
      </c>
      <c r="AA56" s="12" t="s">
        <v>475</v>
      </c>
    </row>
    <row r="57" spans="1:27">
      <c r="A57" t="s">
        <v>170</v>
      </c>
      <c r="B57" t="s">
        <v>173</v>
      </c>
      <c r="D57" t="s">
        <v>172</v>
      </c>
      <c r="F57" t="s">
        <v>171</v>
      </c>
      <c r="G57">
        <f>BoardQty*1</f>
        <v>0</v>
      </c>
      <c r="H57" s="11">
        <f>MINA(INDIRECT(ADDRESS(ROW(),COLUMN(newark_part_data)+2)),INDIRECT(ADDRESS(ROW(),COLUMN(digikey_part_data)+2)),INDIRECT(ADDRESS(ROW(),COLUMN(mouser_part_data)+2)))</f>
        <v>0</v>
      </c>
      <c r="I57" s="11">
        <f>iferror(G57*H57,"")</f>
        <v>0</v>
      </c>
      <c r="J57">
        <v>25503</v>
      </c>
      <c r="L57" s="11">
        <f>iferror(lookup(if(K57="",G57,K57),{0,1,10,25,50,100,250,500,1200,6000},{0.0,0.3,0.288,0.2784,0.2684,0.2535,0.23856,0.22862,0.15814,0.13103}),"")</f>
        <v>0</v>
      </c>
      <c r="M57" s="11">
        <f>iferror(if(K57="",G57,K57)*L57,"")</f>
        <v>0</v>
      </c>
      <c r="N57" t="s">
        <v>513</v>
      </c>
      <c r="O57" s="12" t="s">
        <v>475</v>
      </c>
      <c r="AA57" s="12" t="s">
        <v>475</v>
      </c>
    </row>
    <row r="58" spans="1:27">
      <c r="A58" t="s">
        <v>174</v>
      </c>
      <c r="B58" t="s">
        <v>83</v>
      </c>
      <c r="D58" t="s">
        <v>82</v>
      </c>
      <c r="F58" t="s">
        <v>81</v>
      </c>
      <c r="G58">
        <f>BoardQty*2</f>
        <v>0</v>
      </c>
      <c r="H58" s="11">
        <f>MINA(INDIRECT(ADDRESS(ROW(),COLUMN(newark_part_data)+2)),INDIRECT(ADDRESS(ROW(),COLUMN(digikey_part_data)+2)),INDIRECT(ADDRESS(ROW(),COLUMN(mouser_part_data)+2)))</f>
        <v>0</v>
      </c>
      <c r="I58" s="11">
        <f>iferror(G58*H58,"")</f>
        <v>0</v>
      </c>
      <c r="J58">
        <v>2108</v>
      </c>
      <c r="L58" s="11">
        <f>iferror(lookup(if(K58="",G58,K58),{0,1,10,50,100,250,500,1000,4000,8000,12000,28000,100000},{0.0,0.1,0.048,0.026,0.022,0.018,0.0154,0.012,0.0092,0.0084,0.008,0.0076,0.0055}),"")</f>
        <v>0</v>
      </c>
      <c r="M58" s="11">
        <f>iferror(if(K58="",G58,K58)*L58,"")</f>
        <v>0</v>
      </c>
      <c r="N58" t="s">
        <v>490</v>
      </c>
      <c r="O58" s="12" t="s">
        <v>475</v>
      </c>
      <c r="AA58" s="12" t="s">
        <v>475</v>
      </c>
    </row>
    <row r="59" spans="1:27">
      <c r="A59" t="s">
        <v>175</v>
      </c>
      <c r="B59" t="s">
        <v>177</v>
      </c>
      <c r="D59" t="s">
        <v>12</v>
      </c>
      <c r="F59" t="s">
        <v>176</v>
      </c>
      <c r="G59">
        <f>BoardQty*1</f>
        <v>0</v>
      </c>
      <c r="H59" s="11">
        <f>MINA(INDIRECT(ADDRESS(ROW(),COLUMN(newark_part_data)+2)),INDIRECT(ADDRESS(ROW(),COLUMN(digikey_part_data)+2)),INDIRECT(ADDRESS(ROW(),COLUMN(mouser_part_data)+2)))</f>
        <v>0</v>
      </c>
      <c r="I59" s="11">
        <f>iferror(G59*H59,"")</f>
        <v>0</v>
      </c>
      <c r="J59">
        <v>45739</v>
      </c>
      <c r="L59" s="11">
        <f>iferror(lookup(if(K59="",G59,K59),{0,1,50,100,250,500,1000,5000,10000,25000,50000,125000},{0.0,0.1,0.0114,0.0084,0.00644,0.00514,0.00379,0.00247,0.00215,0.00189,0.00173,0.00169}),"")</f>
        <v>0</v>
      </c>
      <c r="M59" s="11">
        <f>iferror(if(K59="",G59,K59)*L59,"")</f>
        <v>0</v>
      </c>
      <c r="N59" t="s">
        <v>514</v>
      </c>
      <c r="O59" s="12" t="s">
        <v>475</v>
      </c>
      <c r="V59">
        <v>5053</v>
      </c>
      <c r="X59" s="11">
        <f>iferror(lookup(if(W59="",G59,W59),{0,1,50,100,250,500,1000,2500},{0.0,0.093,0.014,0.011,0.008,0.006,0.004,0.003}),"")</f>
        <v>0</v>
      </c>
      <c r="Y59" s="11">
        <f>iferror(if(W59="",G59,W59)*X59,"")</f>
        <v>0</v>
      </c>
      <c r="Z59" t="s">
        <v>609</v>
      </c>
      <c r="AA59" s="12" t="s">
        <v>475</v>
      </c>
    </row>
    <row r="60" spans="1:27">
      <c r="A60" t="s">
        <v>178</v>
      </c>
      <c r="B60" t="s">
        <v>181</v>
      </c>
      <c r="D60" t="s">
        <v>180</v>
      </c>
      <c r="F60" t="s">
        <v>179</v>
      </c>
      <c r="G60">
        <f>BoardQty*1</f>
        <v>0</v>
      </c>
      <c r="H60" s="11">
        <f>MINA(INDIRECT(ADDRESS(ROW(),COLUMN(newark_part_data)+2)),INDIRECT(ADDRESS(ROW(),COLUMN(digikey_part_data)+2)),INDIRECT(ADDRESS(ROW(),COLUMN(mouser_part_data)+2)))</f>
        <v>0</v>
      </c>
      <c r="I60" s="11">
        <f>iferror(G60*H60,"")</f>
        <v>0</v>
      </c>
      <c r="J60">
        <v>961880</v>
      </c>
      <c r="L60" s="11">
        <f>iferror(lookup(if(K60="",G60,K60),{0,1,10,25,100,250,500,1000,2500,5000,10000,25000,50000,125000},{0.0,0.29,0.211,0.1556,0.1111,0.07556,0.06666,0.05222,0.05111,0.0404,0.03636,0.03232,0.02929,0.02727}),"")</f>
        <v>0</v>
      </c>
      <c r="M60" s="11">
        <f>iferror(if(K60="",G60,K60)*L60,"")</f>
        <v>0</v>
      </c>
      <c r="N60" t="s">
        <v>515</v>
      </c>
      <c r="O60" s="12" t="s">
        <v>475</v>
      </c>
      <c r="V60">
        <v>15000</v>
      </c>
      <c r="X60" s="11">
        <f>iferror(lookup(if(W60="",G60,W60),{0,1,3000,6000,9000},{0.0,0.114,0.114,0.105,0.096}),"")</f>
        <v>0</v>
      </c>
      <c r="Y60" s="11">
        <f>iferror(if(W60="",G60,W60)*X60,"")</f>
        <v>0</v>
      </c>
      <c r="Z60" t="s">
        <v>610</v>
      </c>
      <c r="AA60" s="12" t="s">
        <v>475</v>
      </c>
    </row>
    <row r="61" spans="1:27">
      <c r="A61" t="s">
        <v>182</v>
      </c>
      <c r="B61" t="s">
        <v>185</v>
      </c>
      <c r="D61" t="s">
        <v>184</v>
      </c>
      <c r="F61" t="s">
        <v>183</v>
      </c>
      <c r="G61">
        <f>BoardQty*3</f>
        <v>0</v>
      </c>
      <c r="H61" s="11">
        <f>MINA(INDIRECT(ADDRESS(ROW(),COLUMN(newark_part_data)+2)),INDIRECT(ADDRESS(ROW(),COLUMN(digikey_part_data)+2)),INDIRECT(ADDRESS(ROW(),COLUMN(mouser_part_data)+2)))</f>
        <v>0</v>
      </c>
      <c r="I61" s="11">
        <f>iferror(G61*H61,"")</f>
        <v>0</v>
      </c>
      <c r="J61">
        <v>5516</v>
      </c>
      <c r="L61" s="11">
        <f>iferror(lookup(if(K61="",G61,K61),{0,1,10,100,500,1000,2500,5000,12500,25000,62500,125000},{0.0,0.46,0.374,0.2551,0.19094,0.14301,0.12754,0.11982,0.11208,0.10281,0.09894,0.09508}),"")</f>
        <v>0</v>
      </c>
      <c r="M61" s="11">
        <f>iferror(if(K61="",G61,K61)*L61,"")</f>
        <v>0</v>
      </c>
      <c r="N61" t="s">
        <v>516</v>
      </c>
      <c r="O61" s="12" t="s">
        <v>475</v>
      </c>
      <c r="V61">
        <v>4745</v>
      </c>
      <c r="X61" s="11">
        <f>iferror(lookup(if(W61="",G61,W61),{0,1,10,100,1000},{0.0,0.511,0.343,0.191,0.14}),"")</f>
        <v>0</v>
      </c>
      <c r="Y61" s="11">
        <f>iferror(if(W61="",G61,W61)*X61,"")</f>
        <v>0</v>
      </c>
      <c r="Z61" t="s">
        <v>611</v>
      </c>
      <c r="AA61" s="12" t="s">
        <v>475</v>
      </c>
    </row>
    <row r="62" spans="1:27">
      <c r="A62" t="s">
        <v>186</v>
      </c>
      <c r="B62" t="s">
        <v>187</v>
      </c>
      <c r="D62" t="s">
        <v>12</v>
      </c>
      <c r="F62" t="s">
        <v>141</v>
      </c>
      <c r="G62">
        <f>BoardQty*1</f>
        <v>0</v>
      </c>
      <c r="H62" s="11">
        <f>MINA(INDIRECT(ADDRESS(ROW(),COLUMN(newark_part_data)+2)),INDIRECT(ADDRESS(ROW(),COLUMN(digikey_part_data)+2)),INDIRECT(ADDRESS(ROW(),COLUMN(mouser_part_data)+2)))</f>
        <v>0</v>
      </c>
      <c r="I62" s="11">
        <f>iferror(G62*H62,"")</f>
        <v>0</v>
      </c>
      <c r="J62">
        <v>80837</v>
      </c>
      <c r="L62" s="11">
        <f>iferror(lookup(if(K62="",G62,K62),{0,1,50,100,250,500,1000,5000,10000,25000,50000,125000},{0.0,0.63,0.2494,0.1924,0.14964,0.10546,0.07695,0.04275,0.0399,0.03791,0.03714,0.03634}),"")</f>
        <v>0</v>
      </c>
      <c r="M62" s="11">
        <f>iferror(if(K62="",G62,K62)*L62,"")</f>
        <v>0</v>
      </c>
      <c r="N62" t="s">
        <v>506</v>
      </c>
      <c r="O62" s="12" t="s">
        <v>475</v>
      </c>
      <c r="V62">
        <v>2473</v>
      </c>
      <c r="X62" s="11">
        <f>iferror(lookup(if(W62="",G62,W62),{0,1,50,100,250,500,1000},{0.0,0.631,0.249,0.192,0.149,0.105,0.077}),"")</f>
        <v>0</v>
      </c>
      <c r="Y62" s="11">
        <f>iferror(if(W62="",G62,W62)*X62,"")</f>
        <v>0</v>
      </c>
      <c r="Z62" t="s">
        <v>603</v>
      </c>
      <c r="AA62" s="12" t="s">
        <v>475</v>
      </c>
    </row>
    <row r="63" spans="1:27">
      <c r="A63" t="s">
        <v>188</v>
      </c>
      <c r="B63" t="s">
        <v>191</v>
      </c>
      <c r="D63" t="s">
        <v>190</v>
      </c>
      <c r="F63" t="s">
        <v>189</v>
      </c>
      <c r="G63">
        <f>BoardQty*1</f>
        <v>0</v>
      </c>
      <c r="H63" s="11">
        <f>MINA(INDIRECT(ADDRESS(ROW(),COLUMN(newark_part_data)+2)),INDIRECT(ADDRESS(ROW(),COLUMN(digikey_part_data)+2)),INDIRECT(ADDRESS(ROW(),COLUMN(mouser_part_data)+2)))</f>
        <v>0</v>
      </c>
      <c r="I63" s="11">
        <f>iferror(G63*H63,"")</f>
        <v>0</v>
      </c>
      <c r="J63">
        <v>14996</v>
      </c>
      <c r="L63" s="11">
        <f>iferror(lookup(if(K63="",G63,K63),{0,1,10,100,500,1000,2000},{0.0,1.88,1.693,1.3578,1.116,0.775,0.775}),"")</f>
        <v>0</v>
      </c>
      <c r="M63" s="11">
        <f>iferror(if(K63="",G63,K63)*L63,"")</f>
        <v>0</v>
      </c>
      <c r="N63" t="s">
        <v>517</v>
      </c>
      <c r="O63" s="12" t="s">
        <v>475</v>
      </c>
      <c r="V63">
        <v>2203</v>
      </c>
      <c r="X63" s="11">
        <f>iferror(lookup(if(W63="",G63,W63),{0,1,10,100,500,1000},{0.0,1.79,1.55,1.24,1.09,0.893}),"")</f>
        <v>0</v>
      </c>
      <c r="Y63" s="11">
        <f>iferror(if(W63="",G63,W63)*X63,"")</f>
        <v>0</v>
      </c>
      <c r="Z63" t="s">
        <v>612</v>
      </c>
      <c r="AA63" s="12" t="s">
        <v>475</v>
      </c>
    </row>
    <row r="64" spans="1:27">
      <c r="A64" t="s">
        <v>192</v>
      </c>
      <c r="B64" t="s">
        <v>194</v>
      </c>
      <c r="D64" t="s">
        <v>69</v>
      </c>
      <c r="F64" t="s">
        <v>193</v>
      </c>
      <c r="G64">
        <f>BoardQty*8</f>
        <v>0</v>
      </c>
      <c r="H64" s="11">
        <f>MINA(INDIRECT(ADDRESS(ROW(),COLUMN(newark_part_data)+2)),INDIRECT(ADDRESS(ROW(),COLUMN(digikey_part_data)+2)),INDIRECT(ADDRESS(ROW(),COLUMN(mouser_part_data)+2)))</f>
        <v>0</v>
      </c>
      <c r="I64" s="11">
        <f>iferror(G64*H64,"")</f>
        <v>0</v>
      </c>
      <c r="J64">
        <v>2233634</v>
      </c>
      <c r="L64" s="11">
        <f>iferror(lookup(if(K64="",G64,K64),{0,1,10,50,100,250,500,1000,4000,8000,12000,28000,100000},{0.0,0.1,0.041,0.0222,0.0187,0.01532,0.0131,0.0102,0.00782,0.00714,0.0068,0.00646,0.00468}),"")</f>
        <v>0</v>
      </c>
      <c r="M64" s="11">
        <f>iferror(if(K64="",G64,K64)*L64,"")</f>
        <v>0</v>
      </c>
      <c r="N64" t="s">
        <v>518</v>
      </c>
      <c r="O64" s="12" t="s">
        <v>475</v>
      </c>
      <c r="AA64" s="12" t="s">
        <v>475</v>
      </c>
    </row>
    <row r="65" spans="1:27">
      <c r="A65" t="s">
        <v>195</v>
      </c>
      <c r="B65" t="s">
        <v>196</v>
      </c>
      <c r="D65" t="s">
        <v>12</v>
      </c>
      <c r="F65" t="s">
        <v>51</v>
      </c>
      <c r="G65">
        <f>BoardQty*1</f>
        <v>0</v>
      </c>
      <c r="H65" s="11">
        <f>MINA(INDIRECT(ADDRESS(ROW(),COLUMN(newark_part_data)+2)),INDIRECT(ADDRESS(ROW(),COLUMN(digikey_part_data)+2)),INDIRECT(ADDRESS(ROW(),COLUMN(mouser_part_data)+2)))</f>
        <v>0</v>
      </c>
      <c r="I65" s="11">
        <f>iferror(G65*H65,"")</f>
        <v>0</v>
      </c>
      <c r="J65">
        <v>1858177</v>
      </c>
      <c r="L65" s="11">
        <f>iferror(lookup(if(K65="",G65,K65),{0,1,10,25,100,250,500,1000,2500,5000,10000,25000,50000,125000},{0.0,0.1,0.011,0.008,0.0044,0.00336,0.0027,0.00198,0.00172,0.00129,0.00112,0.00099,0.0009,0.00089}),"")</f>
        <v>0</v>
      </c>
      <c r="M65" s="11">
        <f>iferror(if(K65="",G65,K65)*L65,"")</f>
        <v>0</v>
      </c>
      <c r="N65" t="s">
        <v>48</v>
      </c>
      <c r="O65" s="12" t="s">
        <v>475</v>
      </c>
      <c r="V65">
        <v>28791</v>
      </c>
      <c r="X65" s="11">
        <f>iferror(lookup(if(W65="",G65,W65),{0,1,10,25,100,250,1000},{0.0,0.009,0.009,0.008,0.005,0.004,0.003}),"")</f>
        <v>0</v>
      </c>
      <c r="Y65" s="11">
        <f>iferror(if(W65="",G65,W65)*X65,"")</f>
        <v>0</v>
      </c>
      <c r="Z65" t="s">
        <v>586</v>
      </c>
      <c r="AA65" s="12" t="s">
        <v>475</v>
      </c>
    </row>
    <row r="66" spans="1:27">
      <c r="A66" t="s">
        <v>197</v>
      </c>
      <c r="B66" t="s">
        <v>199</v>
      </c>
      <c r="D66" t="s">
        <v>12</v>
      </c>
      <c r="F66" t="s">
        <v>198</v>
      </c>
      <c r="G66">
        <f>BoardQty*1</f>
        <v>0</v>
      </c>
      <c r="H66" s="11">
        <f>MINA(INDIRECT(ADDRESS(ROW(),COLUMN(newark_part_data)+2)),INDIRECT(ADDRESS(ROW(),COLUMN(digikey_part_data)+2)),INDIRECT(ADDRESS(ROW(),COLUMN(mouser_part_data)+2)))</f>
        <v>0</v>
      </c>
      <c r="I66" s="11">
        <f>iferror(G66*H66,"")</f>
        <v>0</v>
      </c>
      <c r="J66">
        <v>230274</v>
      </c>
      <c r="L66" s="11">
        <f>iferror(lookup(if(K66="",G66,K66),{0,1,10,25,100,250,500,1000,2500,5000,10000,25000,50000,125000},{0.0,0.1,0.014,0.01,0.0057,0.00436,0.00348,0.00257,0.00223,0.00167,0.00145,0.00128,0.00117,0.00115}),"")</f>
        <v>0</v>
      </c>
      <c r="M66" s="11">
        <f>iferror(if(K66="",G66,K66)*L66,"")</f>
        <v>0</v>
      </c>
      <c r="N66" t="s">
        <v>519</v>
      </c>
      <c r="O66" s="12" t="s">
        <v>475</v>
      </c>
      <c r="AA66" s="12" t="s">
        <v>475</v>
      </c>
    </row>
    <row r="67" spans="1:27">
      <c r="A67" t="s">
        <v>200</v>
      </c>
      <c r="B67" t="s">
        <v>202</v>
      </c>
      <c r="D67" t="s">
        <v>201</v>
      </c>
      <c r="G67">
        <f>BoardQty*1</f>
        <v>0</v>
      </c>
      <c r="H67" s="11">
        <f>MINA(INDIRECT(ADDRESS(ROW(),COLUMN(newark_part_data)+2)),INDIRECT(ADDRESS(ROW(),COLUMN(digikey_part_data)+2)),INDIRECT(ADDRESS(ROW(),COLUMN(mouser_part_data)+2)))</f>
        <v>0</v>
      </c>
      <c r="I67" s="11">
        <f>iferror(G67*H67,"")</f>
        <v>0</v>
      </c>
    </row>
    <row r="68" spans="1:27">
      <c r="A68" t="s">
        <v>203</v>
      </c>
      <c r="B68" t="s">
        <v>206</v>
      </c>
      <c r="D68" t="s">
        <v>205</v>
      </c>
      <c r="F68" t="s">
        <v>204</v>
      </c>
      <c r="G68">
        <f>BoardQty*1</f>
        <v>0</v>
      </c>
      <c r="H68" s="11">
        <f>MINA(INDIRECT(ADDRESS(ROW(),COLUMN(newark_part_data)+2)),INDIRECT(ADDRESS(ROW(),COLUMN(digikey_part_data)+2)),INDIRECT(ADDRESS(ROW(),COLUMN(mouser_part_data)+2)))</f>
        <v>0</v>
      </c>
      <c r="I68" s="11">
        <f>iferror(G68*H68,"")</f>
        <v>0</v>
      </c>
      <c r="J68">
        <v>17827</v>
      </c>
      <c r="L68" s="11">
        <f>iferror(lookup(if(K68="",G68,K68),{0,1,10,100,500,1000,3000,6000,15000,20000,30000,75000,150000},{0.0,0.23,0.192,0.1016,0.06678,0.0455,0.03979,0.0346,0.02941,0.02941,0.02768,0.02595,0.02249}),"")</f>
        <v>0</v>
      </c>
      <c r="M68" s="11">
        <f>iferror(if(K68="",G68,K68)*L68,"")</f>
        <v>0</v>
      </c>
      <c r="N68" t="s">
        <v>520</v>
      </c>
      <c r="O68" s="12" t="s">
        <v>475</v>
      </c>
      <c r="V68">
        <v>8706</v>
      </c>
      <c r="X68" s="11">
        <f>iferror(lookup(if(W68="",G68,W68),{0,1,10,100,1000},{0.0,0.24,0.16,0.067,0.046}),"")</f>
        <v>0</v>
      </c>
      <c r="Y68" s="11">
        <f>iferror(if(W68="",G68,W68)*X68,"")</f>
        <v>0</v>
      </c>
      <c r="Z68" t="s">
        <v>613</v>
      </c>
      <c r="AA68" s="12" t="s">
        <v>475</v>
      </c>
    </row>
    <row r="69" spans="1:27">
      <c r="A69" t="s">
        <v>207</v>
      </c>
      <c r="B69" t="s">
        <v>209</v>
      </c>
      <c r="D69" t="s">
        <v>12</v>
      </c>
      <c r="F69" t="s">
        <v>208</v>
      </c>
      <c r="G69">
        <f>BoardQty*1</f>
        <v>0</v>
      </c>
      <c r="H69" s="11">
        <f>MINA(INDIRECT(ADDRESS(ROW(),COLUMN(newark_part_data)+2)),INDIRECT(ADDRESS(ROW(),COLUMN(digikey_part_data)+2)),INDIRECT(ADDRESS(ROW(),COLUMN(mouser_part_data)+2)))</f>
        <v>0</v>
      </c>
      <c r="I69" s="11">
        <f>iferror(G69*H69,"")</f>
        <v>0</v>
      </c>
      <c r="J69">
        <v>533068</v>
      </c>
      <c r="L69" s="11">
        <f>iferror(lookup(if(K69="",G69,K69),{0,1,10,25,100,250,500,1000,2500,5000,10000,25000,50000,125000},{0.0,0.1,0.011,0.008,0.0044,0.00336,0.0027,0.00198,0.00172,0.00129,0.00112,0.00099,0.0009,0.00089}),"")</f>
        <v>0</v>
      </c>
      <c r="M69" s="11">
        <f>iferror(if(K69="",G69,K69)*L69,"")</f>
        <v>0</v>
      </c>
      <c r="N69" t="s">
        <v>521</v>
      </c>
      <c r="O69" s="12" t="s">
        <v>475</v>
      </c>
      <c r="V69">
        <v>922</v>
      </c>
      <c r="X69" s="11">
        <f>iferror(lookup(if(W69="",G69,W69),{0,1,10,25,100,250,1000},{0.0,0.06,0.01,0.007,0.004,0.003,0.002}),"")</f>
        <v>0</v>
      </c>
      <c r="Y69" s="11">
        <f>iferror(if(W69="",G69,W69)*X69,"")</f>
        <v>0</v>
      </c>
      <c r="Z69" t="s">
        <v>614</v>
      </c>
      <c r="AA69" s="12" t="s">
        <v>475</v>
      </c>
    </row>
    <row r="70" spans="1:27">
      <c r="A70" t="s">
        <v>210</v>
      </c>
      <c r="B70" t="s">
        <v>212</v>
      </c>
      <c r="D70" t="s">
        <v>69</v>
      </c>
      <c r="F70" t="s">
        <v>211</v>
      </c>
      <c r="G70">
        <f>BoardQty*4</f>
        <v>0</v>
      </c>
      <c r="H70" s="11">
        <f>MINA(INDIRECT(ADDRESS(ROW(),COLUMN(newark_part_data)+2)),INDIRECT(ADDRESS(ROW(),COLUMN(digikey_part_data)+2)),INDIRECT(ADDRESS(ROW(),COLUMN(mouser_part_data)+2)))</f>
        <v>0</v>
      </c>
      <c r="I70" s="11">
        <f>iferror(G70*H70,"")</f>
        <v>0</v>
      </c>
      <c r="J70">
        <v>584573</v>
      </c>
      <c r="L70" s="11">
        <f>iferror(lookup(if(K70="",G70,K70),{0,1,10,50,100,250,500,1000,4000,8000,12000,28000,100000},{0.0,0.1,0.024,0.013,0.011,0.009,0.0077,0.006,0.0046,0.0042,0.004,0.0038,0.00275}),"")</f>
        <v>0</v>
      </c>
      <c r="M70" s="11">
        <f>iferror(if(K70="",G70,K70)*L70,"")</f>
        <v>0</v>
      </c>
      <c r="N70" t="s">
        <v>522</v>
      </c>
      <c r="O70" s="12" t="s">
        <v>475</v>
      </c>
      <c r="V70">
        <v>9671</v>
      </c>
      <c r="X70" s="11">
        <f>iferror(lookup(if(W70="",G70,W70),{0,1,10,25,50,100,250,1000},{0.0,0.1,0.024,0.015,0.012,0.01,0.009,0.006}),"")</f>
        <v>0</v>
      </c>
      <c r="Y70" s="11">
        <f>iferror(if(W70="",G70,W70)*X70,"")</f>
        <v>0</v>
      </c>
      <c r="Z70" t="s">
        <v>615</v>
      </c>
      <c r="AA70" s="12" t="s">
        <v>475</v>
      </c>
    </row>
    <row r="71" spans="1:27">
      <c r="A71" t="s">
        <v>213</v>
      </c>
      <c r="B71" t="s">
        <v>215</v>
      </c>
      <c r="D71" t="s">
        <v>12</v>
      </c>
      <c r="F71" t="s">
        <v>214</v>
      </c>
      <c r="G71">
        <f>BoardQty*2</f>
        <v>0</v>
      </c>
      <c r="H71" s="11">
        <f>MINA(INDIRECT(ADDRESS(ROW(),COLUMN(newark_part_data)+2)),INDIRECT(ADDRESS(ROW(),COLUMN(digikey_part_data)+2)),INDIRECT(ADDRESS(ROW(),COLUMN(mouser_part_data)+2)))</f>
        <v>0</v>
      </c>
      <c r="I71" s="11">
        <f>iferror(G71*H71,"")</f>
        <v>0</v>
      </c>
      <c r="J71">
        <v>30257</v>
      </c>
      <c r="L71" s="11">
        <f>iferror(lookup(if(K71="",G71,K71),{0,1,10,25,50,100,250,500,1000,5000,10000,25000,50000,125000},{0.0,0.4,0.303,0.2304,0.1712,0.1273,0.10752,0.09216,0.07022,0.05686,0.05426,0.05199,0.05087,0.04988}),"")</f>
        <v>0</v>
      </c>
      <c r="M71" s="11">
        <f>iferror(if(K71="",G71,K71)*L71,"")</f>
        <v>0</v>
      </c>
      <c r="N71" t="s">
        <v>504</v>
      </c>
      <c r="O71" s="12" t="s">
        <v>475</v>
      </c>
      <c r="AA71" s="12" t="s">
        <v>475</v>
      </c>
    </row>
    <row r="72" spans="1:27">
      <c r="A72" t="s">
        <v>216</v>
      </c>
      <c r="B72" t="s">
        <v>218</v>
      </c>
      <c r="D72" t="s">
        <v>217</v>
      </c>
      <c r="G72">
        <f>BoardQty*1</f>
        <v>0</v>
      </c>
      <c r="H72" s="11">
        <f>MINA(INDIRECT(ADDRESS(ROW(),COLUMN(newark_part_data)+2)),INDIRECT(ADDRESS(ROW(),COLUMN(digikey_part_data)+2)),INDIRECT(ADDRESS(ROW(),COLUMN(mouser_part_data)+2)))</f>
        <v>0</v>
      </c>
      <c r="I72" s="11">
        <f>iferror(G72*H72,"")</f>
        <v>0</v>
      </c>
    </row>
    <row r="73" spans="1:27">
      <c r="A73" t="s">
        <v>219</v>
      </c>
      <c r="B73" t="s">
        <v>221</v>
      </c>
      <c r="D73" t="s">
        <v>12</v>
      </c>
      <c r="F73" t="s">
        <v>220</v>
      </c>
      <c r="G73">
        <f>BoardQty*1</f>
        <v>0</v>
      </c>
      <c r="H73" s="11">
        <f>MINA(INDIRECT(ADDRESS(ROW(),COLUMN(newark_part_data)+2)),INDIRECT(ADDRESS(ROW(),COLUMN(digikey_part_data)+2)),INDIRECT(ADDRESS(ROW(),COLUMN(mouser_part_data)+2)))</f>
        <v>0</v>
      </c>
      <c r="I73" s="11">
        <f>iferror(G73*H73,"")</f>
        <v>0</v>
      </c>
      <c r="J73">
        <v>193590</v>
      </c>
      <c r="L73" s="11">
        <f>iferror(lookup(if(K73="",G73,K73),{0,1,10,25,100,250,500,1000,2500,5000,10000,25000,50000,125000},{0.0,0.1,0.014,0.01,0.0057,0.00436,0.00348,0.00257,0.00223,0.00167,0.00145,0.00128,0.00117,0.00115}),"")</f>
        <v>0</v>
      </c>
      <c r="M73" s="11">
        <f>iferror(if(K73="",G73,K73)*L73,"")</f>
        <v>0</v>
      </c>
      <c r="N73" t="s">
        <v>523</v>
      </c>
      <c r="O73" s="12" t="s">
        <v>475</v>
      </c>
      <c r="AA73" s="12" t="s">
        <v>475</v>
      </c>
    </row>
    <row r="74" spans="1:27">
      <c r="A74" t="s">
        <v>222</v>
      </c>
      <c r="B74" t="s">
        <v>225</v>
      </c>
      <c r="D74" t="s">
        <v>224</v>
      </c>
      <c r="F74" t="s">
        <v>223</v>
      </c>
      <c r="G74">
        <f>BoardQty*1</f>
        <v>0</v>
      </c>
      <c r="H74" s="11">
        <f>MINA(INDIRECT(ADDRESS(ROW(),COLUMN(newark_part_data)+2)),INDIRECT(ADDRESS(ROW(),COLUMN(digikey_part_data)+2)),INDIRECT(ADDRESS(ROW(),COLUMN(mouser_part_data)+2)))</f>
        <v>0</v>
      </c>
      <c r="I74" s="11">
        <f>iferror(G74*H74,"")</f>
        <v>0</v>
      </c>
      <c r="O74" s="12" t="s">
        <v>475</v>
      </c>
      <c r="V74">
        <v>2168</v>
      </c>
      <c r="X74" s="11">
        <f>iferror(lookup(if(W74="",G74,W74),{0,1,10,100,1000},{0.0,0.669,0.521,0.336,0.269}),"")</f>
        <v>0</v>
      </c>
      <c r="Y74" s="11">
        <f>iferror(if(W74="",G74,W74)*X74,"")</f>
        <v>0</v>
      </c>
      <c r="Z74" t="s">
        <v>616</v>
      </c>
      <c r="AA74" s="12" t="s">
        <v>475</v>
      </c>
    </row>
    <row r="75" spans="1:27">
      <c r="A75" t="s">
        <v>226</v>
      </c>
      <c r="B75" t="s">
        <v>229</v>
      </c>
      <c r="D75" t="s">
        <v>228</v>
      </c>
      <c r="F75" t="s">
        <v>227</v>
      </c>
      <c r="G75">
        <f>BoardQty*2</f>
        <v>0</v>
      </c>
      <c r="H75" s="11">
        <f>MINA(INDIRECT(ADDRESS(ROW(),COLUMN(newark_part_data)+2)),INDIRECT(ADDRESS(ROW(),COLUMN(digikey_part_data)+2)),INDIRECT(ADDRESS(ROW(),COLUMN(mouser_part_data)+2)))</f>
        <v>0</v>
      </c>
      <c r="I75" s="11">
        <f>iferror(G75*H75,"")</f>
        <v>0</v>
      </c>
      <c r="J75">
        <v>9354</v>
      </c>
      <c r="L75" s="11">
        <f>iferror(lookup(if(K75="",G75,K75),{0,1,10,100,500,1000,3000,6000,15000,30000,75000,150000},{0.0,0.42,0.336,0.229,0.17142,0.12839,0.11451,0.10757,0.10063,0.0923,0.08883,0.08536}),"")</f>
        <v>0</v>
      </c>
      <c r="M75" s="11">
        <f>iferror(if(K75="",G75,K75)*L75,"")</f>
        <v>0</v>
      </c>
      <c r="N75" t="s">
        <v>524</v>
      </c>
      <c r="O75" s="12" t="s">
        <v>475</v>
      </c>
      <c r="V75">
        <v>6595</v>
      </c>
      <c r="X75" s="11">
        <f>iferror(lookup(if(W75="",G75,W75),{0,1,10,25,100,250,500,1000},{0.0,0.464,0.365,0.308,0.25,0.207,0.171,0.128}),"")</f>
        <v>0</v>
      </c>
      <c r="Y75" s="11">
        <f>iferror(if(W75="",G75,W75)*X75,"")</f>
        <v>0</v>
      </c>
      <c r="Z75" t="s">
        <v>617</v>
      </c>
      <c r="AA75" s="12" t="s">
        <v>475</v>
      </c>
    </row>
    <row r="76" spans="1:27">
      <c r="A76" t="s">
        <v>230</v>
      </c>
      <c r="B76" t="s">
        <v>233</v>
      </c>
      <c r="D76" t="s">
        <v>232</v>
      </c>
      <c r="F76" t="s">
        <v>231</v>
      </c>
      <c r="G76">
        <f>BoardQty*1</f>
        <v>0</v>
      </c>
      <c r="H76" s="11">
        <f>MINA(INDIRECT(ADDRESS(ROW(),COLUMN(newark_part_data)+2)),INDIRECT(ADDRESS(ROW(),COLUMN(digikey_part_data)+2)),INDIRECT(ADDRESS(ROW(),COLUMN(mouser_part_data)+2)))</f>
        <v>0</v>
      </c>
      <c r="I76" s="11">
        <f>iferror(G76*H76,"")</f>
        <v>0</v>
      </c>
      <c r="J76">
        <v>2351</v>
      </c>
      <c r="L76" s="11">
        <f>iferror(lookup(if(K76="",G76,K76),{0,1,10,100,500,1000,2500,5000,12500},{0.0,4.91,4.41,3.618,2.988,2.52,2.394,2.304,2.25}),"")</f>
        <v>0</v>
      </c>
      <c r="M76" s="11">
        <f>iferror(if(K76="",G76,K76)*L76,"")</f>
        <v>0</v>
      </c>
      <c r="N76" t="s">
        <v>525</v>
      </c>
      <c r="O76" s="12" t="s">
        <v>475</v>
      </c>
      <c r="V76">
        <v>448</v>
      </c>
      <c r="X76" s="11">
        <f>iferror(lookup(if(W76="",G76,W76),{0,1,10,25,50,100,250},{0.0,4.77,4.29,3.98,3.78,3.51,3.33}),"")</f>
        <v>0</v>
      </c>
      <c r="Y76" s="11">
        <f>iferror(if(W76="",G76,W76)*X76,"")</f>
        <v>0</v>
      </c>
      <c r="Z76" t="s">
        <v>618</v>
      </c>
      <c r="AA76" s="12" t="s">
        <v>475</v>
      </c>
    </row>
    <row r="77" spans="1:27">
      <c r="A77" t="s">
        <v>234</v>
      </c>
      <c r="B77" t="s">
        <v>235</v>
      </c>
      <c r="G77">
        <f>BoardQty*1</f>
        <v>0</v>
      </c>
      <c r="H77" s="11">
        <f>MINA(INDIRECT(ADDRESS(ROW(),COLUMN(newark_part_data)+2)),INDIRECT(ADDRESS(ROW(),COLUMN(digikey_part_data)+2)),INDIRECT(ADDRESS(ROW(),COLUMN(mouser_part_data)+2)))</f>
        <v>0</v>
      </c>
      <c r="I77" s="11">
        <f>iferror(G77*H77,"")</f>
        <v>0</v>
      </c>
    </row>
    <row r="78" spans="1:27">
      <c r="A78" t="s">
        <v>236</v>
      </c>
      <c r="B78" t="s">
        <v>237</v>
      </c>
      <c r="D78" t="s">
        <v>35</v>
      </c>
      <c r="F78" t="s">
        <v>237</v>
      </c>
      <c r="G78">
        <f>BoardQty*1</f>
        <v>0</v>
      </c>
      <c r="H78" s="11">
        <f>MINA(INDIRECT(ADDRESS(ROW(),COLUMN(newark_part_data)+2)),INDIRECT(ADDRESS(ROW(),COLUMN(digikey_part_data)+2)),INDIRECT(ADDRESS(ROW(),COLUMN(mouser_part_data)+2)))</f>
        <v>0</v>
      </c>
      <c r="I78" s="11">
        <f>iferror(G78*H78,"")</f>
        <v>0</v>
      </c>
      <c r="J78">
        <v>4054</v>
      </c>
      <c r="L78" s="11">
        <f>iferror(lookup(if(K78="",G78,K78),{0,1,10,50,100,500,1000,3000,5000,10000},{0.0,1.98,1.898,1.8564,1.5876,1.5456,1.239,1.176,1.134,1.092}),"")</f>
        <v>0</v>
      </c>
      <c r="M78" s="11">
        <f>iferror(if(K78="",G78,K78)*L78,"")</f>
        <v>0</v>
      </c>
      <c r="N78" t="s">
        <v>526</v>
      </c>
      <c r="O78" s="12" t="s">
        <v>475</v>
      </c>
    </row>
    <row r="79" spans="1:27">
      <c r="A79" t="s">
        <v>238</v>
      </c>
      <c r="B79" t="s">
        <v>240</v>
      </c>
      <c r="D79" t="s">
        <v>12</v>
      </c>
      <c r="F79" t="s">
        <v>239</v>
      </c>
      <c r="G79">
        <f>BoardQty*1</f>
        <v>0</v>
      </c>
      <c r="H79" s="11">
        <f>MINA(INDIRECT(ADDRESS(ROW(),COLUMN(newark_part_data)+2)),INDIRECT(ADDRESS(ROW(),COLUMN(digikey_part_data)+2)),INDIRECT(ADDRESS(ROW(),COLUMN(mouser_part_data)+2)))</f>
        <v>0</v>
      </c>
      <c r="I79" s="11">
        <f>iferror(G79*H79,"")</f>
        <v>0</v>
      </c>
      <c r="J79">
        <v>451249</v>
      </c>
      <c r="L79" s="11">
        <f>iferror(lookup(if(K79="",G79,K79),{0,1,10,25,100,250,500,1000,2500,5000,10000,25000,50000,125000},{0.0,0.1,0.011,0.008,0.0044,0.00336,0.0027,0.00198,0.00172,0.00129,0.00112,0.00099,0.0009,0.00089}),"")</f>
        <v>0</v>
      </c>
      <c r="M79" s="11">
        <f>iferror(if(K79="",G79,K79)*L79,"")</f>
        <v>0</v>
      </c>
      <c r="N79" t="s">
        <v>239</v>
      </c>
      <c r="O79" s="12" t="s">
        <v>475</v>
      </c>
    </row>
    <row r="80" spans="1:27">
      <c r="A80" t="s">
        <v>241</v>
      </c>
      <c r="B80" t="s">
        <v>244</v>
      </c>
      <c r="D80" t="s">
        <v>243</v>
      </c>
      <c r="F80" t="s">
        <v>242</v>
      </c>
      <c r="G80">
        <f>BoardQty*1</f>
        <v>0</v>
      </c>
      <c r="H80" s="11">
        <f>MINA(INDIRECT(ADDRESS(ROW(),COLUMN(newark_part_data)+2)),INDIRECT(ADDRESS(ROW(),COLUMN(digikey_part_data)+2)),INDIRECT(ADDRESS(ROW(),COLUMN(mouser_part_data)+2)))</f>
        <v>0</v>
      </c>
      <c r="I80" s="11">
        <f>iferror(G80*H80,"")</f>
        <v>0</v>
      </c>
      <c r="J80">
        <v>70191</v>
      </c>
      <c r="L80" s="11">
        <f>iferror(lookup(if(K80="",G80,K80),{0,1,10,100,500,1000,3000,6000,15000,30000,75000,150000},{0.0,0.47,0.352,0.2195,0.15008,0.11536,0.1008,0.0952,0.0868,0.0812,0.0728,0.07}),"")</f>
        <v>0</v>
      </c>
      <c r="M80" s="11">
        <f>iferror(if(K80="",G80,K80)*L80,"")</f>
        <v>0</v>
      </c>
      <c r="N80" t="s">
        <v>527</v>
      </c>
      <c r="O80" s="12" t="s">
        <v>475</v>
      </c>
      <c r="V80">
        <v>6344</v>
      </c>
      <c r="X80" s="11">
        <f>iferror(lookup(if(W80="",G80,W80),{0,1,10,25,100,250,500,1000},{0.0,0.551,0.387,0.317,0.254,0.185,0.15,0.116}),"")</f>
        <v>0</v>
      </c>
      <c r="Y80" s="11">
        <f>iferror(if(W80="",G80,W80)*X80,"")</f>
        <v>0</v>
      </c>
      <c r="Z80" t="s">
        <v>619</v>
      </c>
      <c r="AA80" s="12" t="s">
        <v>475</v>
      </c>
    </row>
    <row r="81" spans="1:27">
      <c r="A81" t="s">
        <v>245</v>
      </c>
      <c r="B81" t="s">
        <v>247</v>
      </c>
      <c r="D81" t="s">
        <v>168</v>
      </c>
      <c r="F81" t="s">
        <v>246</v>
      </c>
      <c r="G81">
        <f>BoardQty*1</f>
        <v>0</v>
      </c>
      <c r="H81" s="11">
        <f>MINA(INDIRECT(ADDRESS(ROW(),COLUMN(newark_part_data)+2)),INDIRECT(ADDRESS(ROW(),COLUMN(digikey_part_data)+2)),INDIRECT(ADDRESS(ROW(),COLUMN(mouser_part_data)+2)))</f>
        <v>0</v>
      </c>
      <c r="I81" s="11">
        <f>iferror(G81*H81,"")</f>
        <v>0</v>
      </c>
      <c r="J81">
        <v>5809</v>
      </c>
      <c r="L81" s="11">
        <f>iferror(lookup(if(K81="",G81,K81),{0,1,25,100,3300},{0.0,0.28,0.27,0.26,0.26}),"")</f>
        <v>0</v>
      </c>
      <c r="M81" s="11">
        <f>iferror(if(K81="",G81,K81)*L81,"")</f>
        <v>0</v>
      </c>
      <c r="N81" t="s">
        <v>528</v>
      </c>
      <c r="O81" s="12" t="s">
        <v>475</v>
      </c>
      <c r="AA81" s="12" t="s">
        <v>475</v>
      </c>
    </row>
    <row r="82" spans="1:27">
      <c r="A82" t="s">
        <v>248</v>
      </c>
      <c r="B82" t="s">
        <v>249</v>
      </c>
      <c r="D82" t="s">
        <v>12</v>
      </c>
      <c r="F82" t="s">
        <v>11</v>
      </c>
      <c r="G82">
        <f>BoardQty*4</f>
        <v>0</v>
      </c>
      <c r="H82" s="11">
        <f>MINA(INDIRECT(ADDRESS(ROW(),COLUMN(newark_part_data)+2)),INDIRECT(ADDRESS(ROW(),COLUMN(digikey_part_data)+2)),INDIRECT(ADDRESS(ROW(),COLUMN(mouser_part_data)+2)))</f>
        <v>0</v>
      </c>
      <c r="I82" s="11">
        <f>iferror(G82*H82,"")</f>
        <v>0</v>
      </c>
      <c r="J82">
        <v>2541611</v>
      </c>
      <c r="L82" s="11">
        <f>iferror(lookup(if(K82="",G82,K82),{0,1,10,25,100,250,500,1000,2500,5000,10000,25000,50000,125000},{0.0,0.1,0.011,0.008,0.0044,0.00336,0.0027,0.00198,0.00172,0.00129,0.00112,0.00099,0.0009,0.00089}),"")</f>
        <v>0</v>
      </c>
      <c r="M82" s="11">
        <f>iferror(if(K82="",G82,K82)*L82,"")</f>
        <v>0</v>
      </c>
      <c r="N82" t="s">
        <v>476</v>
      </c>
      <c r="O82" s="12" t="s">
        <v>475</v>
      </c>
      <c r="V82">
        <v>9500</v>
      </c>
      <c r="X82" s="11">
        <f>iferror(lookup(if(W82="",G82,W82),{0,1,10,25,100,250,1000},{0.0,0.06,0.01,0.007,0.004,0.003,0.002}),"")</f>
        <v>0</v>
      </c>
      <c r="Y82" s="11">
        <f>iferror(if(W82="",G82,W82)*X82,"")</f>
        <v>0</v>
      </c>
      <c r="Z82" t="s">
        <v>581</v>
      </c>
      <c r="AA82" s="12" t="s">
        <v>475</v>
      </c>
    </row>
    <row r="83" spans="1:27">
      <c r="A83" t="s">
        <v>250</v>
      </c>
      <c r="B83" t="s">
        <v>253</v>
      </c>
      <c r="D83" t="s">
        <v>252</v>
      </c>
      <c r="F83" t="s">
        <v>251</v>
      </c>
      <c r="G83">
        <f>BoardQty*1</f>
        <v>0</v>
      </c>
      <c r="H83" s="11">
        <f>MINA(INDIRECT(ADDRESS(ROW(),COLUMN(newark_part_data)+2)),INDIRECT(ADDRESS(ROW(),COLUMN(digikey_part_data)+2)),INDIRECT(ADDRESS(ROW(),COLUMN(mouser_part_data)+2)))</f>
        <v>0</v>
      </c>
      <c r="I83" s="11">
        <f>iferror(G83*H83,"")</f>
        <v>0</v>
      </c>
      <c r="O83" s="12" t="s">
        <v>475</v>
      </c>
      <c r="AA83" s="12" t="s">
        <v>475</v>
      </c>
    </row>
    <row r="84" spans="1:27">
      <c r="A84" t="s">
        <v>254</v>
      </c>
      <c r="B84" t="s">
        <v>255</v>
      </c>
      <c r="D84" t="s">
        <v>89</v>
      </c>
      <c r="F84" t="s">
        <v>255</v>
      </c>
      <c r="G84">
        <f>BoardQty*1</f>
        <v>0</v>
      </c>
      <c r="H84" s="11">
        <f>MINA(INDIRECT(ADDRESS(ROW(),COLUMN(newark_part_data)+2)),INDIRECT(ADDRESS(ROW(),COLUMN(digikey_part_data)+2)),INDIRECT(ADDRESS(ROW(),COLUMN(mouser_part_data)+2)))</f>
        <v>0</v>
      </c>
      <c r="I84" s="11">
        <f>iferror(G84*H84,"")</f>
        <v>0</v>
      </c>
      <c r="J84">
        <v>4851</v>
      </c>
      <c r="L84" s="11">
        <f>iferror(lookup(if(K84="",G84,K84),{0,1,5,10,50,100,250,500,1000,2500,5000,12500},{0.0,0.38,0.364,0.353,0.2974,0.2468,0.2244,0.19074,0.1683,0.1428,0.1377,0.1326}),"")</f>
        <v>0</v>
      </c>
      <c r="M84" s="11">
        <f>iferror(if(K84="",G84,K84)*L84,"")</f>
        <v>0</v>
      </c>
      <c r="N84" t="s">
        <v>529</v>
      </c>
      <c r="O84" s="12" t="s">
        <v>475</v>
      </c>
      <c r="AA84" s="12" t="s">
        <v>475</v>
      </c>
    </row>
    <row r="85" spans="1:27">
      <c r="A85" t="s">
        <v>256</v>
      </c>
      <c r="B85" t="s">
        <v>255</v>
      </c>
      <c r="D85" t="s">
        <v>89</v>
      </c>
      <c r="F85" t="s">
        <v>257</v>
      </c>
      <c r="G85">
        <f>BoardQty*2</f>
        <v>0</v>
      </c>
      <c r="H85" s="11">
        <f>MINA(INDIRECT(ADDRESS(ROW(),COLUMN(newark_part_data)+2)),INDIRECT(ADDRESS(ROW(),COLUMN(digikey_part_data)+2)),INDIRECT(ADDRESS(ROW(),COLUMN(mouser_part_data)+2)))</f>
        <v>0</v>
      </c>
      <c r="I85" s="11">
        <f>iferror(G85*H85,"")</f>
        <v>0</v>
      </c>
      <c r="J85">
        <v>4122</v>
      </c>
      <c r="L85" s="11">
        <f>iferror(lookup(if(K85="",G85,K85),{0,1,10,25,50,100,250,500,1000,3000,6000,15000},{0.0,0.29,0.273,0.252,0.2432,0.2264,0.2016,0.168,0.1592,0.128,0.12,0.112}),"")</f>
        <v>0</v>
      </c>
      <c r="M85" s="11">
        <f>iferror(if(K85="",G85,K85)*L85,"")</f>
        <v>0</v>
      </c>
      <c r="N85" t="s">
        <v>530</v>
      </c>
      <c r="O85" s="12" t="s">
        <v>475</v>
      </c>
      <c r="V85">
        <v>374</v>
      </c>
      <c r="X85" s="11">
        <f>iferror(lookup(if(W85="",G85,W85),{0,1,10,100,250,500,1000},{0.0,0.288,0.208,0.192,0.183,0.167,0.141}),"")</f>
        <v>0</v>
      </c>
      <c r="Y85" s="11">
        <f>iferror(if(W85="",G85,W85)*X85,"")</f>
        <v>0</v>
      </c>
      <c r="Z85" t="s">
        <v>620</v>
      </c>
      <c r="AA85" s="12" t="s">
        <v>475</v>
      </c>
    </row>
    <row r="86" spans="1:27">
      <c r="A86" t="s">
        <v>258</v>
      </c>
      <c r="B86" t="s">
        <v>259</v>
      </c>
      <c r="D86" t="s">
        <v>75</v>
      </c>
      <c r="G86">
        <f>BoardQty*6</f>
        <v>0</v>
      </c>
      <c r="H86" s="11">
        <f>MINA(INDIRECT(ADDRESS(ROW(),COLUMN(newark_part_data)+2)),INDIRECT(ADDRESS(ROW(),COLUMN(digikey_part_data)+2)),INDIRECT(ADDRESS(ROW(),COLUMN(mouser_part_data)+2)))</f>
        <v>0</v>
      </c>
      <c r="I86" s="11">
        <f>iferror(G86*H86,"")</f>
        <v>0</v>
      </c>
    </row>
    <row r="87" spans="1:27">
      <c r="A87" t="s">
        <v>260</v>
      </c>
      <c r="B87" t="s">
        <v>255</v>
      </c>
      <c r="F87" t="s">
        <v>257</v>
      </c>
      <c r="G87">
        <f>BoardQty*1</f>
        <v>0</v>
      </c>
      <c r="H87" s="11">
        <f>MINA(INDIRECT(ADDRESS(ROW(),COLUMN(newark_part_data)+2)),INDIRECT(ADDRESS(ROW(),COLUMN(digikey_part_data)+2)),INDIRECT(ADDRESS(ROW(),COLUMN(mouser_part_data)+2)))</f>
        <v>0</v>
      </c>
      <c r="I87" s="11">
        <f>iferror(G87*H87,"")</f>
        <v>0</v>
      </c>
      <c r="J87">
        <v>4122</v>
      </c>
      <c r="L87" s="11">
        <f>iferror(lookup(if(K87="",G87,K87),{0,1,10,25,50,100,250,500,1000,3000,6000,15000},{0.0,0.29,0.273,0.252,0.2432,0.2264,0.2016,0.168,0.1592,0.128,0.12,0.112}),"")</f>
        <v>0</v>
      </c>
      <c r="M87" s="11">
        <f>iferror(if(K87="",G87,K87)*L87,"")</f>
        <v>0</v>
      </c>
      <c r="N87" t="s">
        <v>530</v>
      </c>
      <c r="O87" s="12" t="s">
        <v>475</v>
      </c>
      <c r="V87">
        <v>374</v>
      </c>
      <c r="X87" s="11">
        <f>iferror(lookup(if(W87="",G87,W87),{0,1,10,100,250,500,1000},{0.0,0.288,0.208,0.192,0.183,0.167,0.141}),"")</f>
        <v>0</v>
      </c>
      <c r="Y87" s="11">
        <f>iferror(if(W87="",G87,W87)*X87,"")</f>
        <v>0</v>
      </c>
      <c r="Z87" t="s">
        <v>620</v>
      </c>
      <c r="AA87" s="12" t="s">
        <v>475</v>
      </c>
    </row>
    <row r="88" spans="1:27">
      <c r="A88" t="s">
        <v>261</v>
      </c>
      <c r="B88" t="s">
        <v>83</v>
      </c>
      <c r="D88" t="s">
        <v>69</v>
      </c>
      <c r="F88" t="s">
        <v>81</v>
      </c>
      <c r="G88">
        <f>BoardQty*4</f>
        <v>0</v>
      </c>
      <c r="H88" s="11">
        <f>MINA(INDIRECT(ADDRESS(ROW(),COLUMN(newark_part_data)+2)),INDIRECT(ADDRESS(ROW(),COLUMN(digikey_part_data)+2)),INDIRECT(ADDRESS(ROW(),COLUMN(mouser_part_data)+2)))</f>
        <v>0</v>
      </c>
      <c r="I88" s="11">
        <f>iferror(G88*H88,"")</f>
        <v>0</v>
      </c>
      <c r="J88">
        <v>2108</v>
      </c>
      <c r="L88" s="11">
        <f>iferror(lookup(if(K88="",G88,K88),{0,1,10,50,100,250,500,1000,4000,8000,12000,28000,100000},{0.0,0.1,0.048,0.026,0.022,0.018,0.0154,0.012,0.0092,0.0084,0.008,0.0076,0.0055}),"")</f>
        <v>0</v>
      </c>
      <c r="M88" s="11">
        <f>iferror(if(K88="",G88,K88)*L88,"")</f>
        <v>0</v>
      </c>
      <c r="N88" t="s">
        <v>490</v>
      </c>
      <c r="O88" s="12" t="s">
        <v>475</v>
      </c>
      <c r="AA88" s="12" t="s">
        <v>475</v>
      </c>
    </row>
    <row r="89" spans="1:27">
      <c r="A89" t="s">
        <v>262</v>
      </c>
      <c r="B89" t="s">
        <v>265</v>
      </c>
      <c r="D89" t="s">
        <v>264</v>
      </c>
      <c r="F89" t="s">
        <v>263</v>
      </c>
      <c r="G89">
        <f>BoardQty*1</f>
        <v>0</v>
      </c>
      <c r="H89" s="11">
        <f>MINA(INDIRECT(ADDRESS(ROW(),COLUMN(newark_part_data)+2)),INDIRECT(ADDRESS(ROW(),COLUMN(digikey_part_data)+2)),INDIRECT(ADDRESS(ROW(),COLUMN(mouser_part_data)+2)))</f>
        <v>0</v>
      </c>
      <c r="I89" s="11">
        <f>iferror(G89*H89,"")</f>
        <v>0</v>
      </c>
      <c r="J89">
        <v>652</v>
      </c>
      <c r="L89" s="11">
        <f>iferror(lookup(if(K89="",G89,K89),{0,1,25,100,5000},{0.0,1.3,1.09,1.05,1.05}),"")</f>
        <v>0</v>
      </c>
      <c r="M89" s="11">
        <f>iferror(if(K89="",G89,K89)*L89,"")</f>
        <v>0</v>
      </c>
      <c r="N89" t="s">
        <v>531</v>
      </c>
      <c r="O89" s="12" t="s">
        <v>475</v>
      </c>
      <c r="V89">
        <v>636</v>
      </c>
      <c r="X89" s="11">
        <f>iferror(lookup(if(W89="",G89,W89),{0,1,100,250,500,1000},{0.0,2.45,2.0,1.83,1.7,1.6}),"")</f>
        <v>0</v>
      </c>
      <c r="Y89" s="11">
        <f>iferror(if(W89="",G89,W89)*X89,"")</f>
        <v>0</v>
      </c>
      <c r="Z89" t="s">
        <v>621</v>
      </c>
      <c r="AA89" s="12" t="s">
        <v>475</v>
      </c>
    </row>
    <row r="90" spans="1:27">
      <c r="A90" t="s">
        <v>266</v>
      </c>
      <c r="B90" t="s">
        <v>269</v>
      </c>
      <c r="D90" t="s">
        <v>268</v>
      </c>
      <c r="F90" t="s">
        <v>267</v>
      </c>
      <c r="G90">
        <f>BoardQty*2</f>
        <v>0</v>
      </c>
      <c r="H90" s="11">
        <f>MINA(INDIRECT(ADDRESS(ROW(),COLUMN(newark_part_data)+2)),INDIRECT(ADDRESS(ROW(),COLUMN(digikey_part_data)+2)),INDIRECT(ADDRESS(ROW(),COLUMN(mouser_part_data)+2)))</f>
        <v>0</v>
      </c>
      <c r="I90" s="11">
        <f>iferror(G90*H90,"")</f>
        <v>0</v>
      </c>
      <c r="J90">
        <v>25</v>
      </c>
      <c r="L90" s="11">
        <f>iferror(lookup(if(K90="",G90,K90),{0,1,10,25,100,250,500,1000,2500,5000,12500,25000},{0.0,3.06,2.55,2.142,1.836,1.632,1.479,1.3566,1.3005,1.2648,1.01675,0.996}),"")</f>
        <v>0</v>
      </c>
      <c r="M90" s="11">
        <f>iferror(if(K90="",G90,K90)*L90,"")</f>
        <v>0</v>
      </c>
      <c r="N90" t="s">
        <v>532</v>
      </c>
      <c r="O90" s="12" t="s">
        <v>475</v>
      </c>
    </row>
    <row r="91" spans="1:27">
      <c r="A91" t="s">
        <v>270</v>
      </c>
      <c r="B91" t="s">
        <v>272</v>
      </c>
      <c r="D91" t="s">
        <v>271</v>
      </c>
      <c r="G91">
        <f>BoardQty*4</f>
        <v>0</v>
      </c>
      <c r="H91" s="11">
        <f>MINA(INDIRECT(ADDRESS(ROW(),COLUMN(newark_part_data)+2)),INDIRECT(ADDRESS(ROW(),COLUMN(digikey_part_data)+2)),INDIRECT(ADDRESS(ROW(),COLUMN(mouser_part_data)+2)))</f>
        <v>0</v>
      </c>
      <c r="I91" s="11">
        <f>iferror(G91*H91,"")</f>
        <v>0</v>
      </c>
    </row>
    <row r="92" spans="1:27">
      <c r="A92" t="s">
        <v>273</v>
      </c>
      <c r="B92" t="s">
        <v>275</v>
      </c>
      <c r="D92" t="s">
        <v>12</v>
      </c>
      <c r="F92" t="s">
        <v>274</v>
      </c>
      <c r="G92">
        <f>BoardQty*1</f>
        <v>0</v>
      </c>
      <c r="H92" s="11">
        <f>MINA(INDIRECT(ADDRESS(ROW(),COLUMN(newark_part_data)+2)),INDIRECT(ADDRESS(ROW(),COLUMN(digikey_part_data)+2)),INDIRECT(ADDRESS(ROW(),COLUMN(mouser_part_data)+2)))</f>
        <v>0</v>
      </c>
      <c r="I92" s="11">
        <f>iferror(G92*H92,"")</f>
        <v>0</v>
      </c>
      <c r="J92">
        <v>762230</v>
      </c>
      <c r="L92" s="11">
        <f>iferror(lookup(if(K92="",G92,K92),{0,1,10,25,100,250,500,1000,2500,5000,10000,25000,50000,125000},{0.0,0.1,0.014,0.01,0.0057,0.00436,0.00348,0.00257,0.00223,0.00167,0.00145,0.00128,0.00117,0.00115}),"")</f>
        <v>0</v>
      </c>
      <c r="M92" s="11">
        <f>iferror(if(K92="",G92,K92)*L92,"")</f>
        <v>0</v>
      </c>
      <c r="N92" t="s">
        <v>533</v>
      </c>
      <c r="O92" s="12" t="s">
        <v>475</v>
      </c>
      <c r="V92">
        <v>4964</v>
      </c>
      <c r="X92" s="11">
        <f>iferror(lookup(if(W92="",G92,W92),{0,1,10,25,100,250,1000},{0.0,0.08,0.014,0.01,0.006,0.004,0.003}),"")</f>
        <v>0</v>
      </c>
      <c r="Y92" s="11">
        <f>iferror(if(W92="",G92,W92)*X92,"")</f>
        <v>0</v>
      </c>
      <c r="Z92" t="s">
        <v>622</v>
      </c>
      <c r="AA92" s="12" t="s">
        <v>475</v>
      </c>
    </row>
    <row r="93" spans="1:27">
      <c r="A93" t="s">
        <v>276</v>
      </c>
      <c r="B93" t="s">
        <v>275</v>
      </c>
      <c r="D93" t="s">
        <v>12</v>
      </c>
      <c r="F93" t="s">
        <v>277</v>
      </c>
      <c r="G93">
        <f>BoardQty*5</f>
        <v>0</v>
      </c>
      <c r="H93" s="11">
        <f>MINA(INDIRECT(ADDRESS(ROW(),COLUMN(newark_part_data)+2)),INDIRECT(ADDRESS(ROW(),COLUMN(digikey_part_data)+2)),INDIRECT(ADDRESS(ROW(),COLUMN(mouser_part_data)+2)))</f>
        <v>0</v>
      </c>
      <c r="I93" s="11">
        <f>iferror(G93*H93,"")</f>
        <v>0</v>
      </c>
      <c r="J93">
        <v>762230</v>
      </c>
      <c r="L93" s="11">
        <f>iferror(lookup(if(K93="",G93,K93),{0,1,10,25,100,250,500,1000,2500,5000,10000,25000,50000,125000},{0.0,0.1,0.014,0.01,0.0057,0.00436,0.00348,0.00257,0.00223,0.00167,0.00145,0.00128,0.00117,0.00115}),"")</f>
        <v>0</v>
      </c>
      <c r="M93" s="11">
        <f>iferror(if(K93="",G93,K93)*L93,"")</f>
        <v>0</v>
      </c>
      <c r="N93" t="s">
        <v>533</v>
      </c>
      <c r="O93" s="12" t="s">
        <v>475</v>
      </c>
      <c r="V93">
        <v>4964</v>
      </c>
      <c r="X93" s="11">
        <f>iferror(lookup(if(W93="",G93,W93),{0,1,10,25,100,250,1000},{0.0,0.08,0.014,0.01,0.006,0.004,0.003}),"")</f>
        <v>0</v>
      </c>
      <c r="Y93" s="11">
        <f>iferror(if(W93="",G93,W93)*X93,"")</f>
        <v>0</v>
      </c>
      <c r="Z93" t="s">
        <v>622</v>
      </c>
      <c r="AA93" s="12" t="s">
        <v>475</v>
      </c>
    </row>
    <row r="94" spans="1:27">
      <c r="A94" t="s">
        <v>278</v>
      </c>
      <c r="B94" t="s">
        <v>281</v>
      </c>
      <c r="D94" t="s">
        <v>280</v>
      </c>
      <c r="F94" t="s">
        <v>279</v>
      </c>
      <c r="G94">
        <f>BoardQty*1</f>
        <v>0</v>
      </c>
      <c r="H94" s="11">
        <f>MINA(INDIRECT(ADDRESS(ROW(),COLUMN(newark_part_data)+2)),INDIRECT(ADDRESS(ROW(),COLUMN(digikey_part_data)+2)),INDIRECT(ADDRESS(ROW(),COLUMN(mouser_part_data)+2)))</f>
        <v>0</v>
      </c>
      <c r="I94" s="11">
        <f>iferror(G94*H94,"")</f>
        <v>0</v>
      </c>
      <c r="O94" s="12" t="s">
        <v>475</v>
      </c>
    </row>
    <row r="95" spans="1:27">
      <c r="A95" t="s">
        <v>282</v>
      </c>
      <c r="B95" t="s">
        <v>281</v>
      </c>
      <c r="D95" t="s">
        <v>280</v>
      </c>
      <c r="F95" t="s">
        <v>283</v>
      </c>
      <c r="G95">
        <f>BoardQty*1</f>
        <v>0</v>
      </c>
      <c r="H95" s="11">
        <f>MINA(INDIRECT(ADDRESS(ROW(),COLUMN(newark_part_data)+2)),INDIRECT(ADDRESS(ROW(),COLUMN(digikey_part_data)+2)),INDIRECT(ADDRESS(ROW(),COLUMN(mouser_part_data)+2)))</f>
        <v>0</v>
      </c>
      <c r="I95" s="11">
        <f>iferror(G95*H95,"")</f>
        <v>0</v>
      </c>
      <c r="O95" s="12" t="s">
        <v>475</v>
      </c>
      <c r="AA95" s="12" t="s">
        <v>475</v>
      </c>
    </row>
    <row r="96" spans="1:27">
      <c r="A96" t="s">
        <v>284</v>
      </c>
      <c r="B96" t="s">
        <v>286</v>
      </c>
      <c r="D96" t="s">
        <v>12</v>
      </c>
      <c r="F96" t="s">
        <v>285</v>
      </c>
      <c r="G96">
        <f>BoardQty*4</f>
        <v>0</v>
      </c>
      <c r="H96" s="11">
        <f>MINA(INDIRECT(ADDRESS(ROW(),COLUMN(newark_part_data)+2)),INDIRECT(ADDRESS(ROW(),COLUMN(digikey_part_data)+2)),INDIRECT(ADDRESS(ROW(),COLUMN(mouser_part_data)+2)))</f>
        <v>0</v>
      </c>
      <c r="I96" s="11">
        <f>iferror(G96*H96,"")</f>
        <v>0</v>
      </c>
      <c r="J96">
        <v>8546</v>
      </c>
      <c r="L96" s="11">
        <f>iferror(lookup(if(K96="",G96,K96),{0,1,50,100,250,500,1000,5000,10000,25000,50000,125000},{0.0,0.63,0.2494,0.1924,0.14964,0.10546,0.07695,0.04275,0.0399,0.03791,0.03714,0.03634}),"")</f>
        <v>0</v>
      </c>
      <c r="M96" s="11">
        <f>iferror(if(K96="",G96,K96)*L96,"")</f>
        <v>0</v>
      </c>
      <c r="N96" t="s">
        <v>534</v>
      </c>
      <c r="O96" s="12" t="s">
        <v>475</v>
      </c>
      <c r="AA96" s="12" t="s">
        <v>475</v>
      </c>
    </row>
    <row r="97" spans="1:27">
      <c r="A97" t="s">
        <v>287</v>
      </c>
      <c r="B97" t="s">
        <v>289</v>
      </c>
      <c r="D97" t="s">
        <v>180</v>
      </c>
      <c r="F97" t="s">
        <v>288</v>
      </c>
      <c r="G97">
        <f>BoardQty*2</f>
        <v>0</v>
      </c>
      <c r="H97" s="11">
        <f>MINA(INDIRECT(ADDRESS(ROW(),COLUMN(newark_part_data)+2)),INDIRECT(ADDRESS(ROW(),COLUMN(digikey_part_data)+2)),INDIRECT(ADDRESS(ROW(),COLUMN(mouser_part_data)+2)))</f>
        <v>0</v>
      </c>
      <c r="I97" s="11">
        <f>iferror(G97*H97,"")</f>
        <v>0</v>
      </c>
      <c r="J97">
        <v>10550</v>
      </c>
      <c r="L97" s="11">
        <f>iferror(lookup(if(K97="",G97,K97),{0,1,10,25,100,250,500,1000,2000,6000,10000,50000,100000},{0.0,0.41,0.297,0.2276,0.1485,0.10892,0.0924,0.0759,0.06,0.054,0.048,0.0405,0.039}),"")</f>
        <v>0</v>
      </c>
      <c r="M97" s="11">
        <f>iferror(if(K97="",G97,K97)*L97,"")</f>
        <v>0</v>
      </c>
      <c r="N97" t="s">
        <v>502</v>
      </c>
      <c r="O97" s="12" t="s">
        <v>475</v>
      </c>
    </row>
    <row r="98" spans="1:27">
      <c r="A98" t="s">
        <v>290</v>
      </c>
      <c r="B98" t="s">
        <v>292</v>
      </c>
      <c r="D98" t="s">
        <v>20</v>
      </c>
      <c r="F98" t="s">
        <v>291</v>
      </c>
      <c r="G98">
        <f>BoardQty*1</f>
        <v>0</v>
      </c>
      <c r="H98" s="11">
        <f>MINA(INDIRECT(ADDRESS(ROW(),COLUMN(newark_part_data)+2)),INDIRECT(ADDRESS(ROW(),COLUMN(digikey_part_data)+2)),INDIRECT(ADDRESS(ROW(),COLUMN(mouser_part_data)+2)))</f>
        <v>0</v>
      </c>
      <c r="I98" s="11">
        <f>iferror(G98*H98,"")</f>
        <v>0</v>
      </c>
      <c r="J98">
        <v>44536</v>
      </c>
      <c r="L98" s="11">
        <f>iferror(lookup(if(K98="",G98,K98),{0,1,10,100,500,1000,2500},{0.0,2.19,1.966,1.5768,1.296,0.9,0.9}),"")</f>
        <v>0</v>
      </c>
      <c r="M98" s="11">
        <f>iferror(if(K98="",G98,K98)*L98,"")</f>
        <v>0</v>
      </c>
      <c r="N98" t="s">
        <v>535</v>
      </c>
      <c r="O98" s="12" t="s">
        <v>475</v>
      </c>
      <c r="V98">
        <v>1181</v>
      </c>
      <c r="X98" s="11">
        <f>iferror(lookup(if(W98="",G98,W98),{0,1,10,100,500,1000},{0.0,2.08,1.8,1.44,1.26,1.04}),"")</f>
        <v>0</v>
      </c>
      <c r="Y98" s="11">
        <f>iferror(if(W98="",G98,W98)*X98,"")</f>
        <v>0</v>
      </c>
      <c r="Z98" t="s">
        <v>623</v>
      </c>
      <c r="AA98" s="12" t="s">
        <v>475</v>
      </c>
    </row>
    <row r="99" spans="1:27">
      <c r="A99" t="s">
        <v>293</v>
      </c>
      <c r="B99" t="s">
        <v>296</v>
      </c>
      <c r="D99" t="s">
        <v>295</v>
      </c>
      <c r="F99" t="s">
        <v>294</v>
      </c>
      <c r="G99">
        <f>BoardQty*4</f>
        <v>0</v>
      </c>
      <c r="H99" s="11">
        <f>MINA(INDIRECT(ADDRESS(ROW(),COLUMN(newark_part_data)+2)),INDIRECT(ADDRESS(ROW(),COLUMN(digikey_part_data)+2)),INDIRECT(ADDRESS(ROW(),COLUMN(mouser_part_data)+2)))</f>
        <v>0</v>
      </c>
      <c r="I99" s="11">
        <f>iferror(G99*H99,"")</f>
        <v>0</v>
      </c>
      <c r="J99">
        <v>19789</v>
      </c>
      <c r="L99" s="11">
        <f>iferror(lookup(if(K99="",G99,K99),{0,1,25,100,3000},{0.0,0.62,0.52,0.47,0.47}),"")</f>
        <v>0</v>
      </c>
      <c r="M99" s="11">
        <f>iferror(if(K99="",G99,K99)*L99,"")</f>
        <v>0</v>
      </c>
      <c r="N99" t="s">
        <v>536</v>
      </c>
      <c r="O99" s="12" t="s">
        <v>475</v>
      </c>
      <c r="AA99" s="12" t="s">
        <v>475</v>
      </c>
    </row>
    <row r="100" spans="1:27">
      <c r="A100" t="s">
        <v>297</v>
      </c>
      <c r="B100" t="s">
        <v>299</v>
      </c>
      <c r="D100" t="s">
        <v>243</v>
      </c>
      <c r="F100" t="s">
        <v>298</v>
      </c>
      <c r="G100">
        <f>BoardQty*1</f>
        <v>0</v>
      </c>
      <c r="H100" s="11">
        <f>MINA(INDIRECT(ADDRESS(ROW(),COLUMN(newark_part_data)+2)),INDIRECT(ADDRESS(ROW(),COLUMN(digikey_part_data)+2)),INDIRECT(ADDRESS(ROW(),COLUMN(mouser_part_data)+2)))</f>
        <v>0</v>
      </c>
      <c r="I100" s="11">
        <f>iferror(G100*H100,"")</f>
        <v>0</v>
      </c>
      <c r="O100" s="12" t="s">
        <v>475</v>
      </c>
      <c r="V100">
        <v>7</v>
      </c>
      <c r="X100" s="11">
        <f>iferror(lookup(if(W100="",G100,W100),{0,1,25,100},{0.0,0.31,0.26,0.24}),"")</f>
        <v>0</v>
      </c>
      <c r="Y100" s="11">
        <f>iferror(if(W100="",G100,W100)*X100,"")</f>
        <v>0</v>
      </c>
      <c r="Z100" t="s">
        <v>624</v>
      </c>
      <c r="AA100" s="12" t="s">
        <v>475</v>
      </c>
    </row>
    <row r="101" spans="1:27">
      <c r="A101" t="s">
        <v>300</v>
      </c>
      <c r="B101" t="s">
        <v>302</v>
      </c>
      <c r="D101" t="s">
        <v>184</v>
      </c>
      <c r="F101" t="s">
        <v>301</v>
      </c>
      <c r="G101">
        <f>BoardQty*1</f>
        <v>0</v>
      </c>
      <c r="H101" s="11">
        <f>MINA(INDIRECT(ADDRESS(ROW(),COLUMN(newark_part_data)+2)),INDIRECT(ADDRESS(ROW(),COLUMN(digikey_part_data)+2)),INDIRECT(ADDRESS(ROW(),COLUMN(mouser_part_data)+2)))</f>
        <v>0</v>
      </c>
      <c r="I101" s="11">
        <f>iferror(G101*H101,"")</f>
        <v>0</v>
      </c>
      <c r="J101">
        <v>3143</v>
      </c>
      <c r="L101" s="11">
        <f>iferror(lookup(if(K101="",G101,K101),{0,1,10,25,100,250,750,1500,2250,3200,5250,18750,37500,75000},{0.0,0.44,0.358,0.3276,0.2439,0.22104,0.1776,0.1332,0.1221,0.1221,0.1147,0.1073,0.09842,0.09472}),"")</f>
        <v>0</v>
      </c>
      <c r="M101" s="11">
        <f>iferror(if(K101="",G101,K101)*L101,"")</f>
        <v>0</v>
      </c>
      <c r="N101" t="s">
        <v>537</v>
      </c>
      <c r="O101" s="12" t="s">
        <v>475</v>
      </c>
      <c r="AA101" s="12" t="s">
        <v>475</v>
      </c>
    </row>
    <row r="102" spans="1:27">
      <c r="A102" t="s">
        <v>303</v>
      </c>
      <c r="B102" t="s">
        <v>304</v>
      </c>
      <c r="D102" t="s">
        <v>43</v>
      </c>
      <c r="F102" t="s">
        <v>42</v>
      </c>
      <c r="G102">
        <f>BoardQty*2</f>
        <v>0</v>
      </c>
      <c r="H102" s="11">
        <f>MINA(INDIRECT(ADDRESS(ROW(),COLUMN(newark_part_data)+2)),INDIRECT(ADDRESS(ROW(),COLUMN(digikey_part_data)+2)),INDIRECT(ADDRESS(ROW(),COLUMN(mouser_part_data)+2)))</f>
        <v>0</v>
      </c>
      <c r="I102" s="11">
        <f>iferror(G102*H102,"")</f>
        <v>0</v>
      </c>
      <c r="J102">
        <v>54370</v>
      </c>
      <c r="L102" s="11">
        <f>iferror(lookup(if(K102="",G102,K102),{0,1,10,50,100,250,500,1000,2000,4000,9000,10000,14000,18000,27000,50000,63000,100000,225000},{0.0,0.35,0.308,0.187,0.154,0.1232,0.1122,0.1012,0.0792,0.0748,0.064,0.0704,0.0682,0.062,0.06,0.0616,0.056,0.0572,0.052}),"")</f>
        <v>0</v>
      </c>
      <c r="M102" s="11">
        <f>iferror(if(K102="",G102,K102)*L102,"")</f>
        <v>0</v>
      </c>
      <c r="N102" t="s">
        <v>482</v>
      </c>
      <c r="O102" s="12" t="s">
        <v>475</v>
      </c>
      <c r="AA102" s="12" t="s">
        <v>475</v>
      </c>
    </row>
    <row r="103" spans="1:27">
      <c r="A103" t="s">
        <v>305</v>
      </c>
      <c r="B103" t="s">
        <v>307</v>
      </c>
      <c r="D103" t="s">
        <v>168</v>
      </c>
      <c r="F103" t="s">
        <v>306</v>
      </c>
      <c r="G103">
        <f>BoardQty*1</f>
        <v>0</v>
      </c>
      <c r="H103" s="11">
        <f>MINA(INDIRECT(ADDRESS(ROW(),COLUMN(newark_part_data)+2)),INDIRECT(ADDRESS(ROW(),COLUMN(digikey_part_data)+2)),INDIRECT(ADDRESS(ROW(),COLUMN(mouser_part_data)+2)))</f>
        <v>0</v>
      </c>
      <c r="I103" s="11">
        <f>iferror(G103*H103,"")</f>
        <v>0</v>
      </c>
      <c r="J103">
        <v>4496</v>
      </c>
      <c r="L103" s="11">
        <f>iferror(lookup(if(K103="",G103,K103),{0,1,25,100,3300},{0.0,2.86,2.76,2.675,2.675}),"")</f>
        <v>0</v>
      </c>
      <c r="M103" s="11">
        <f>iferror(if(K103="",G103,K103)*L103,"")</f>
        <v>0</v>
      </c>
      <c r="N103" t="s">
        <v>538</v>
      </c>
      <c r="O103" s="12" t="s">
        <v>475</v>
      </c>
      <c r="V103">
        <v>2777</v>
      </c>
      <c r="X103" s="11">
        <f>iferror(lookup(if(W103="",G103,W103),{0,1},{0.0,2.81}),"")</f>
        <v>0</v>
      </c>
      <c r="Y103" s="11">
        <f>iferror(if(W103="",G103,W103)*X103,"")</f>
        <v>0</v>
      </c>
      <c r="Z103" t="s">
        <v>625</v>
      </c>
      <c r="AA103" s="12" t="s">
        <v>475</v>
      </c>
    </row>
    <row r="104" spans="1:27">
      <c r="A104" t="s">
        <v>308</v>
      </c>
      <c r="B104" t="s">
        <v>310</v>
      </c>
      <c r="D104" t="s">
        <v>243</v>
      </c>
      <c r="F104" t="s">
        <v>309</v>
      </c>
      <c r="G104">
        <f>BoardQty*1</f>
        <v>0</v>
      </c>
      <c r="H104" s="11">
        <f>MINA(INDIRECT(ADDRESS(ROW(),COLUMN(newark_part_data)+2)),INDIRECT(ADDRESS(ROW(),COLUMN(digikey_part_data)+2)),INDIRECT(ADDRESS(ROW(),COLUMN(mouser_part_data)+2)))</f>
        <v>0</v>
      </c>
      <c r="I104" s="11">
        <f>iferror(G104*H104,"")</f>
        <v>0</v>
      </c>
      <c r="J104">
        <v>47280</v>
      </c>
      <c r="L104" s="11">
        <f>iferror(lookup(if(K104="",G104,K104),{0,1,10,100,500,1000,3000,6000,10000,15000,30000,50000,75000,100000,150000,250000},{0.0,0.12,0.105,0.0575,0.03534,0.0241,0.01989,0.01794,0.0156,0.0156,0.01404,0.01248,0.01248,0.0117,0.01037,0.01037}),"")</f>
        <v>0</v>
      </c>
      <c r="M104" s="11">
        <f>iferror(if(K104="",G104,K104)*L104,"")</f>
        <v>0</v>
      </c>
      <c r="N104" t="s">
        <v>539</v>
      </c>
      <c r="O104" s="12" t="s">
        <v>475</v>
      </c>
      <c r="AA104" s="12" t="s">
        <v>475</v>
      </c>
    </row>
    <row r="105" spans="1:27">
      <c r="A105" t="s">
        <v>311</v>
      </c>
      <c r="B105" t="s">
        <v>312</v>
      </c>
      <c r="D105" t="s">
        <v>12</v>
      </c>
      <c r="F105" t="s">
        <v>165</v>
      </c>
      <c r="G105">
        <f>BoardQty*1</f>
        <v>0</v>
      </c>
      <c r="H105" s="11">
        <f>MINA(INDIRECT(ADDRESS(ROW(),COLUMN(newark_part_data)+2)),INDIRECT(ADDRESS(ROW(),COLUMN(digikey_part_data)+2)),INDIRECT(ADDRESS(ROW(),COLUMN(mouser_part_data)+2)))</f>
        <v>0</v>
      </c>
      <c r="I105" s="11">
        <f>iferror(G105*H105,"")</f>
        <v>0</v>
      </c>
      <c r="J105">
        <v>5595588</v>
      </c>
      <c r="L105" s="11">
        <f>iferror(lookup(if(K105="",G105,K105),{0,1,10,25,100,250,500,1000,2500,5000,10000,25000,50000,125000},{0.0,0.1,0.011,0.008,0.0044,0.00336,0.0027,0.00198,0.00172,0.00129,0.00112,0.00099,0.0009,0.00089}),"")</f>
        <v>0</v>
      </c>
      <c r="M105" s="11">
        <f>iferror(if(K105="",G105,K105)*L105,"")</f>
        <v>0</v>
      </c>
      <c r="N105" t="s">
        <v>511</v>
      </c>
      <c r="O105" s="12" t="s">
        <v>475</v>
      </c>
      <c r="V105">
        <v>4313</v>
      </c>
      <c r="X105" s="11">
        <f>iferror(lookup(if(W105="",G105,W105),{0,1,10,25,100,250,1000},{0.0,0.06,0.01,0.007,0.004,0.003,0.002}),"")</f>
        <v>0</v>
      </c>
      <c r="Y105" s="11">
        <f>iferror(if(W105="",G105,W105)*X105,"")</f>
        <v>0</v>
      </c>
      <c r="Z105" t="s">
        <v>607</v>
      </c>
      <c r="AA105" s="12" t="s">
        <v>475</v>
      </c>
    </row>
    <row r="106" spans="1:27">
      <c r="A106" t="s">
        <v>313</v>
      </c>
      <c r="B106" t="s">
        <v>312</v>
      </c>
      <c r="D106" t="s">
        <v>12</v>
      </c>
      <c r="F106" t="s">
        <v>162</v>
      </c>
      <c r="G106">
        <f>BoardQty*2</f>
        <v>0</v>
      </c>
      <c r="H106" s="11">
        <f>MINA(INDIRECT(ADDRESS(ROW(),COLUMN(newark_part_data)+2)),INDIRECT(ADDRESS(ROW(),COLUMN(digikey_part_data)+2)),INDIRECT(ADDRESS(ROW(),COLUMN(mouser_part_data)+2)))</f>
        <v>0</v>
      </c>
      <c r="I106" s="11">
        <f>iferror(G106*H106,"")</f>
        <v>0</v>
      </c>
      <c r="J106">
        <v>5595588</v>
      </c>
      <c r="L106" s="11">
        <f>iferror(lookup(if(K106="",G106,K106),{0,1,10,25,100,250,500,1000,2500,5000,10000,25000,50000,125000},{0.0,0.1,0.011,0.008,0.0044,0.00336,0.0027,0.00198,0.00172,0.00129,0.00112,0.00099,0.0009,0.00089}),"")</f>
        <v>0</v>
      </c>
      <c r="M106" s="11">
        <f>iferror(if(K106="",G106,K106)*L106,"")</f>
        <v>0</v>
      </c>
      <c r="N106" t="s">
        <v>511</v>
      </c>
      <c r="O106" s="12" t="s">
        <v>475</v>
      </c>
      <c r="V106">
        <v>4313</v>
      </c>
      <c r="X106" s="11">
        <f>iferror(lookup(if(W106="",G106,W106),{0,1,10,25,100,250,1000},{0.0,0.06,0.01,0.007,0.004,0.003,0.002}),"")</f>
        <v>0</v>
      </c>
      <c r="Y106" s="11">
        <f>iferror(if(W106="",G106,W106)*X106,"")</f>
        <v>0</v>
      </c>
      <c r="Z106" t="s">
        <v>607</v>
      </c>
      <c r="AA106" s="12" t="s">
        <v>475</v>
      </c>
    </row>
    <row r="107" spans="1:27">
      <c r="A107" t="s">
        <v>314</v>
      </c>
      <c r="B107" t="s">
        <v>312</v>
      </c>
      <c r="D107" t="s">
        <v>12</v>
      </c>
      <c r="F107" t="s">
        <v>315</v>
      </c>
      <c r="G107">
        <f>BoardQty*3</f>
        <v>0</v>
      </c>
      <c r="H107" s="11">
        <f>MINA(INDIRECT(ADDRESS(ROW(),COLUMN(newark_part_data)+2)),INDIRECT(ADDRESS(ROW(),COLUMN(digikey_part_data)+2)),INDIRECT(ADDRESS(ROW(),COLUMN(mouser_part_data)+2)))</f>
        <v>0</v>
      </c>
      <c r="I107" s="11">
        <f>iferror(G107*H107,"")</f>
        <v>0</v>
      </c>
      <c r="J107">
        <v>5595588</v>
      </c>
      <c r="L107" s="11">
        <f>iferror(lookup(if(K107="",G107,K107),{0,1,10,25,100,250,500,1000,2500,5000,10000,25000,50000,125000},{0.0,0.1,0.011,0.008,0.0044,0.00336,0.0027,0.00198,0.00172,0.00129,0.00112,0.00099,0.0009,0.00089}),"")</f>
        <v>0</v>
      </c>
      <c r="M107" s="11">
        <f>iferror(if(K107="",G107,K107)*L107,"")</f>
        <v>0</v>
      </c>
      <c r="N107" t="s">
        <v>511</v>
      </c>
      <c r="O107" s="12" t="s">
        <v>475</v>
      </c>
      <c r="V107">
        <v>4313</v>
      </c>
      <c r="X107" s="11">
        <f>iferror(lookup(if(W107="",G107,W107),{0,1,10,25,100,250,1000},{0.0,0.06,0.01,0.007,0.004,0.003,0.002}),"")</f>
        <v>0</v>
      </c>
      <c r="Y107" s="11">
        <f>iferror(if(W107="",G107,W107)*X107,"")</f>
        <v>0</v>
      </c>
      <c r="Z107" t="s">
        <v>607</v>
      </c>
      <c r="AA107" s="12" t="s">
        <v>475</v>
      </c>
    </row>
    <row r="108" spans="1:27">
      <c r="A108" t="s">
        <v>316</v>
      </c>
      <c r="B108" t="s">
        <v>319</v>
      </c>
      <c r="D108" t="s">
        <v>318</v>
      </c>
      <c r="F108" t="s">
        <v>317</v>
      </c>
      <c r="G108">
        <f>BoardQty*5</f>
        <v>0</v>
      </c>
      <c r="H108" s="11">
        <f>MINA(INDIRECT(ADDRESS(ROW(),COLUMN(newark_part_data)+2)),INDIRECT(ADDRESS(ROW(),COLUMN(digikey_part_data)+2)),INDIRECT(ADDRESS(ROW(),COLUMN(mouser_part_data)+2)))</f>
        <v>0</v>
      </c>
      <c r="I108" s="11">
        <f>iferror(G108*H108,"")</f>
        <v>0</v>
      </c>
      <c r="J108">
        <v>14541</v>
      </c>
      <c r="L108" s="11">
        <f>iferror(lookup(if(K108="",G108,K108),{0,1,10,100,500,1000,3000,6000,15000,30000,75000,150000},{0.0,0.28,0.229,0.1215,0.0799,0.05444,0.04761,0.0414,0.03519,0.03312,0.03105,0.02691}),"")</f>
        <v>0</v>
      </c>
      <c r="M108" s="11">
        <f>iferror(if(K108="",G108,K108)*L108,"")</f>
        <v>0</v>
      </c>
      <c r="N108" t="s">
        <v>540</v>
      </c>
      <c r="O108" s="12" t="s">
        <v>475</v>
      </c>
      <c r="V108">
        <v>3089</v>
      </c>
      <c r="X108" s="11">
        <f>iferror(lookup(if(W108="",G108,W108),{0,1,10,100,1000},{0.0,0.288,0.192,0.081,0.055}),"")</f>
        <v>0</v>
      </c>
      <c r="Y108" s="11">
        <f>iferror(if(W108="",G108,W108)*X108,"")</f>
        <v>0</v>
      </c>
      <c r="Z108" t="s">
        <v>626</v>
      </c>
      <c r="AA108" s="12" t="s">
        <v>475</v>
      </c>
    </row>
    <row r="109" spans="1:27">
      <c r="A109" t="s">
        <v>320</v>
      </c>
      <c r="B109" t="s">
        <v>312</v>
      </c>
      <c r="D109" t="s">
        <v>12</v>
      </c>
      <c r="F109" t="s">
        <v>162</v>
      </c>
      <c r="G109">
        <f>BoardQty*4</f>
        <v>0</v>
      </c>
      <c r="H109" s="11">
        <f>MINA(INDIRECT(ADDRESS(ROW(),COLUMN(newark_part_data)+2)),INDIRECT(ADDRESS(ROW(),COLUMN(digikey_part_data)+2)),INDIRECT(ADDRESS(ROW(),COLUMN(mouser_part_data)+2)))</f>
        <v>0</v>
      </c>
      <c r="I109" s="11">
        <f>iferror(G109*H109,"")</f>
        <v>0</v>
      </c>
      <c r="J109">
        <v>5595588</v>
      </c>
      <c r="L109" s="11">
        <f>iferror(lookup(if(K109="",G109,K109),{0,1,10,25,100,250,500,1000,2500,5000,10000,25000,50000,125000},{0.0,0.1,0.011,0.008,0.0044,0.00336,0.0027,0.00198,0.00172,0.00129,0.00112,0.00099,0.0009,0.00089}),"")</f>
        <v>0</v>
      </c>
      <c r="M109" s="11">
        <f>iferror(if(K109="",G109,K109)*L109,"")</f>
        <v>0</v>
      </c>
      <c r="N109" t="s">
        <v>511</v>
      </c>
      <c r="O109" s="12" t="s">
        <v>475</v>
      </c>
      <c r="V109">
        <v>4313</v>
      </c>
      <c r="X109" s="11">
        <f>iferror(lookup(if(W109="",G109,W109),{0,1,10,25,100,250,1000},{0.0,0.06,0.01,0.007,0.004,0.003,0.002}),"")</f>
        <v>0</v>
      </c>
      <c r="Y109" s="11">
        <f>iferror(if(W109="",G109,W109)*X109,"")</f>
        <v>0</v>
      </c>
      <c r="Z109" t="s">
        <v>607</v>
      </c>
      <c r="AA109" s="12" t="s">
        <v>475</v>
      </c>
    </row>
    <row r="110" spans="1:27">
      <c r="A110" t="s">
        <v>321</v>
      </c>
      <c r="B110" t="s">
        <v>323</v>
      </c>
      <c r="D110" t="s">
        <v>160</v>
      </c>
      <c r="F110" t="s">
        <v>322</v>
      </c>
      <c r="G110">
        <f>BoardQty*8</f>
        <v>0</v>
      </c>
      <c r="H110" s="11">
        <f>MINA(INDIRECT(ADDRESS(ROW(),COLUMN(newark_part_data)+2)),INDIRECT(ADDRESS(ROW(),COLUMN(digikey_part_data)+2)),INDIRECT(ADDRESS(ROW(),COLUMN(mouser_part_data)+2)))</f>
        <v>0</v>
      </c>
      <c r="I110" s="11">
        <f>iferror(G110*H110,"")</f>
        <v>0</v>
      </c>
      <c r="J110">
        <v>551663</v>
      </c>
      <c r="L110" s="11">
        <f>iferror(lookup(if(K110="",G110,K110),{0,1,50,100,250,500,1000,5000,10000,25000,50000,125000},{0.0,0.1,0.0212,0.0156,0.01188,0.0095,0.007,0.00456,0.00396,0.00348,0.00319,0.00313}),"")</f>
        <v>0</v>
      </c>
      <c r="M110" s="11">
        <f>iferror(if(K110="",G110,K110)*L110,"")</f>
        <v>0</v>
      </c>
      <c r="N110" t="s">
        <v>541</v>
      </c>
      <c r="O110" s="12" t="s">
        <v>475</v>
      </c>
      <c r="V110">
        <v>2367</v>
      </c>
      <c r="X110" s="11">
        <f>iferror(lookup(if(W110="",G110,W110),{0,1,50,100,250,500,1000,2500},{0.0,0.088,0.025,0.019,0.014,0.011,0.007,0.006}),"")</f>
        <v>0</v>
      </c>
      <c r="Y110" s="11">
        <f>iferror(if(W110="",G110,W110)*X110,"")</f>
        <v>0</v>
      </c>
      <c r="Z110" t="s">
        <v>627</v>
      </c>
      <c r="AA110" s="12" t="s">
        <v>475</v>
      </c>
    </row>
    <row r="111" spans="1:27">
      <c r="A111" t="s">
        <v>324</v>
      </c>
      <c r="B111" t="s">
        <v>255</v>
      </c>
      <c r="D111" t="s">
        <v>89</v>
      </c>
      <c r="F111" t="s">
        <v>257</v>
      </c>
      <c r="G111">
        <f>BoardQty*1</f>
        <v>0</v>
      </c>
      <c r="H111" s="11">
        <f>MINA(INDIRECT(ADDRESS(ROW(),COLUMN(newark_part_data)+2)),INDIRECT(ADDRESS(ROW(),COLUMN(digikey_part_data)+2)),INDIRECT(ADDRESS(ROW(),COLUMN(mouser_part_data)+2)))</f>
        <v>0</v>
      </c>
      <c r="I111" s="11">
        <f>iferror(G111*H111,"")</f>
        <v>0</v>
      </c>
      <c r="J111">
        <v>4122</v>
      </c>
      <c r="L111" s="11">
        <f>iferror(lookup(if(K111="",G111,K111),{0,1,10,25,50,100,250,500,1000,3000,6000,15000},{0.0,0.29,0.273,0.252,0.2432,0.2264,0.2016,0.168,0.1592,0.128,0.12,0.112}),"")</f>
        <v>0</v>
      </c>
      <c r="M111" s="11">
        <f>iferror(if(K111="",G111,K111)*L111,"")</f>
        <v>0</v>
      </c>
      <c r="N111" t="s">
        <v>530</v>
      </c>
      <c r="O111" s="12" t="s">
        <v>475</v>
      </c>
      <c r="V111">
        <v>374</v>
      </c>
      <c r="X111" s="11">
        <f>iferror(lookup(if(W111="",G111,W111),{0,1,10,100,250,500,1000},{0.0,0.288,0.208,0.192,0.183,0.167,0.141}),"")</f>
        <v>0</v>
      </c>
      <c r="Y111" s="11">
        <f>iferror(if(W111="",G111,W111)*X111,"")</f>
        <v>0</v>
      </c>
      <c r="Z111" t="s">
        <v>620</v>
      </c>
      <c r="AA111" s="12" t="s">
        <v>475</v>
      </c>
    </row>
    <row r="112" spans="1:27">
      <c r="A112" t="s">
        <v>325</v>
      </c>
      <c r="B112" t="s">
        <v>44</v>
      </c>
      <c r="D112" t="s">
        <v>43</v>
      </c>
      <c r="F112" t="s">
        <v>42</v>
      </c>
      <c r="G112">
        <f>BoardQty*1</f>
        <v>0</v>
      </c>
      <c r="H112" s="11">
        <f>MINA(INDIRECT(ADDRESS(ROW(),COLUMN(newark_part_data)+2)),INDIRECT(ADDRESS(ROW(),COLUMN(digikey_part_data)+2)),INDIRECT(ADDRESS(ROW(),COLUMN(mouser_part_data)+2)))</f>
        <v>0</v>
      </c>
      <c r="I112" s="11">
        <f>iferror(G112*H112,"")</f>
        <v>0</v>
      </c>
      <c r="J112">
        <v>54370</v>
      </c>
      <c r="L112" s="11">
        <f>iferror(lookup(if(K112="",G112,K112),{0,1,10,50,100,250,500,1000,2000,4000,9000,10000,14000,18000,27000,50000,63000,100000,225000},{0.0,0.35,0.308,0.187,0.154,0.1232,0.1122,0.1012,0.0792,0.0748,0.064,0.0704,0.0682,0.062,0.06,0.0616,0.056,0.0572,0.052}),"")</f>
        <v>0</v>
      </c>
      <c r="M112" s="11">
        <f>iferror(if(K112="",G112,K112)*L112,"")</f>
        <v>0</v>
      </c>
      <c r="N112" t="s">
        <v>482</v>
      </c>
      <c r="O112" s="12" t="s">
        <v>475</v>
      </c>
      <c r="AA112" s="12" t="s">
        <v>475</v>
      </c>
    </row>
    <row r="113" spans="1:27">
      <c r="A113" t="s">
        <v>326</v>
      </c>
      <c r="B113" t="s">
        <v>44</v>
      </c>
      <c r="D113" t="s">
        <v>43</v>
      </c>
      <c r="F113" t="s">
        <v>46</v>
      </c>
      <c r="G113">
        <f>BoardQty*1</f>
        <v>0</v>
      </c>
      <c r="H113" s="11">
        <f>MINA(INDIRECT(ADDRESS(ROW(),COLUMN(newark_part_data)+2)),INDIRECT(ADDRESS(ROW(),COLUMN(digikey_part_data)+2)),INDIRECT(ADDRESS(ROW(),COLUMN(mouser_part_data)+2)))</f>
        <v>0</v>
      </c>
      <c r="I113" s="11">
        <f>iferror(G113*H113,"")</f>
        <v>0</v>
      </c>
      <c r="J113">
        <v>54370</v>
      </c>
      <c r="L113" s="11">
        <f>iferror(lookup(if(K113="",G113,K113),{0,1,10,50,100,250,500,1000,2000,4000,9000,10000,14000,18000,27000,50000,63000,100000,225000},{0.0,0.35,0.308,0.187,0.154,0.1232,0.1122,0.1012,0.0792,0.0748,0.064,0.0704,0.0682,0.062,0.06,0.0616,0.056,0.0572,0.052}),"")</f>
        <v>0</v>
      </c>
      <c r="M113" s="11">
        <f>iferror(if(K113="",G113,K113)*L113,"")</f>
        <v>0</v>
      </c>
      <c r="N113" t="s">
        <v>482</v>
      </c>
      <c r="O113" s="12" t="s">
        <v>475</v>
      </c>
      <c r="V113">
        <v>1652</v>
      </c>
      <c r="X113" s="11">
        <f>iferror(lookup(if(W113="",G113,W113),{0,1,10,25,50,100,250,1000},{0.0,0.252,0.219,0.155,0.132,0.109,0.087,0.07}),"")</f>
        <v>0</v>
      </c>
      <c r="Y113" s="11">
        <f>iferror(if(W113="",G113,W113)*X113,"")</f>
        <v>0</v>
      </c>
      <c r="Z113" t="s">
        <v>585</v>
      </c>
      <c r="AA113" s="12" t="s">
        <v>475</v>
      </c>
    </row>
    <row r="114" spans="1:27">
      <c r="A114" t="s">
        <v>327</v>
      </c>
      <c r="B114" t="s">
        <v>328</v>
      </c>
      <c r="D114" t="s">
        <v>12</v>
      </c>
      <c r="F114" t="s">
        <v>11</v>
      </c>
      <c r="G114">
        <f>BoardQty*5</f>
        <v>0</v>
      </c>
      <c r="H114" s="11">
        <f>MINA(INDIRECT(ADDRESS(ROW(),COLUMN(newark_part_data)+2)),INDIRECT(ADDRESS(ROW(),COLUMN(digikey_part_data)+2)),INDIRECT(ADDRESS(ROW(),COLUMN(mouser_part_data)+2)))</f>
        <v>0</v>
      </c>
      <c r="I114" s="11">
        <f>iferror(G114*H114,"")</f>
        <v>0</v>
      </c>
      <c r="J114">
        <v>2541611</v>
      </c>
      <c r="L114" s="11">
        <f>iferror(lookup(if(K114="",G114,K114),{0,1,10,25,100,250,500,1000,2500,5000,10000,25000,50000,125000},{0.0,0.1,0.011,0.008,0.0044,0.00336,0.0027,0.00198,0.00172,0.00129,0.00112,0.00099,0.0009,0.00089}),"")</f>
        <v>0</v>
      </c>
      <c r="M114" s="11">
        <f>iferror(if(K114="",G114,K114)*L114,"")</f>
        <v>0</v>
      </c>
      <c r="N114" t="s">
        <v>476</v>
      </c>
      <c r="O114" s="12" t="s">
        <v>475</v>
      </c>
      <c r="V114">
        <v>9500</v>
      </c>
      <c r="X114" s="11">
        <f>iferror(lookup(if(W114="",G114,W114),{0,1,10,25,100,250,1000},{0.0,0.06,0.01,0.007,0.004,0.003,0.002}),"")</f>
        <v>0</v>
      </c>
      <c r="Y114" s="11">
        <f>iferror(if(W114="",G114,W114)*X114,"")</f>
        <v>0</v>
      </c>
      <c r="Z114" t="s">
        <v>581</v>
      </c>
      <c r="AA114" s="12" t="s">
        <v>475</v>
      </c>
    </row>
    <row r="115" spans="1:27">
      <c r="A115" t="s">
        <v>329</v>
      </c>
      <c r="B115" t="s">
        <v>332</v>
      </c>
      <c r="D115" t="s">
        <v>331</v>
      </c>
      <c r="F115" t="s">
        <v>330</v>
      </c>
      <c r="G115">
        <f>BoardQty*1</f>
        <v>0</v>
      </c>
      <c r="H115" s="11">
        <f>MINA(INDIRECT(ADDRESS(ROW(),COLUMN(newark_part_data)+2)),INDIRECT(ADDRESS(ROW(),COLUMN(digikey_part_data)+2)),INDIRECT(ADDRESS(ROW(),COLUMN(mouser_part_data)+2)))</f>
        <v>0</v>
      </c>
      <c r="I115" s="11">
        <f>iferror(G115*H115,"")</f>
        <v>0</v>
      </c>
      <c r="J115">
        <v>32174</v>
      </c>
      <c r="L115" s="11">
        <f>iferror(lookup(if(K115="",G115,K115),{0,1,10,100,500,1000,3000,6000,15000,30000,75000,150000},{0.0,0.52,0.448,0.3347,0.26286,0.20265,0.17949,0.16791,0.15633,0.14822,0.14475,0.13896}),"")</f>
        <v>0</v>
      </c>
      <c r="M115" s="11">
        <f>iferror(if(K115="",G115,K115)*L115,"")</f>
        <v>0</v>
      </c>
      <c r="N115" t="s">
        <v>542</v>
      </c>
      <c r="O115" s="12" t="s">
        <v>475</v>
      </c>
      <c r="V115">
        <v>1600</v>
      </c>
      <c r="X115" s="11">
        <f>iferror(lookup(if(W115="",G115,W115),{0,1,10,25,100,250,500,1000},{0.0,0.568,0.477,0.418,0.357,0.311,0.262,0.202}),"")</f>
        <v>0</v>
      </c>
      <c r="Y115" s="11">
        <f>iferror(if(W115="",G115,W115)*X115,"")</f>
        <v>0</v>
      </c>
      <c r="Z115" t="s">
        <v>628</v>
      </c>
      <c r="AA115" s="12" t="s">
        <v>475</v>
      </c>
    </row>
    <row r="116" spans="1:27">
      <c r="A116" t="s">
        <v>333</v>
      </c>
      <c r="B116" t="s">
        <v>336</v>
      </c>
      <c r="D116" t="s">
        <v>335</v>
      </c>
      <c r="F116" t="s">
        <v>334</v>
      </c>
      <c r="G116">
        <f>BoardQty*2</f>
        <v>0</v>
      </c>
      <c r="H116" s="11">
        <f>MINA(INDIRECT(ADDRESS(ROW(),COLUMN(newark_part_data)+2)),INDIRECT(ADDRESS(ROW(),COLUMN(digikey_part_data)+2)),INDIRECT(ADDRESS(ROW(),COLUMN(mouser_part_data)+2)))</f>
        <v>0</v>
      </c>
      <c r="I116" s="11">
        <f>iferror(G116*H116,"")</f>
        <v>0</v>
      </c>
      <c r="O116" s="12" t="s">
        <v>475</v>
      </c>
      <c r="V116">
        <v>388</v>
      </c>
      <c r="X116" s="11">
        <f>iferror(lookup(if(W116="",G116,W116),{0,1,10,100,250,500,1000,2500,5000},{0.0,0.255,0.204,0.197,0.18,0.165,0.148,0.13,0.112}),"")</f>
        <v>0</v>
      </c>
      <c r="Y116" s="11">
        <f>iferror(if(W116="",G116,W116)*X116,"")</f>
        <v>0</v>
      </c>
      <c r="Z116" t="s">
        <v>629</v>
      </c>
      <c r="AA116" s="12" t="s">
        <v>475</v>
      </c>
    </row>
    <row r="117" spans="1:27">
      <c r="A117" t="s">
        <v>337</v>
      </c>
      <c r="B117" t="s">
        <v>338</v>
      </c>
      <c r="D117" t="s">
        <v>12</v>
      </c>
      <c r="F117" t="s">
        <v>101</v>
      </c>
      <c r="G117">
        <f>BoardQty*1</f>
        <v>0</v>
      </c>
      <c r="H117" s="11">
        <f>MINA(INDIRECT(ADDRESS(ROW(),COLUMN(newark_part_data)+2)),INDIRECT(ADDRESS(ROW(),COLUMN(digikey_part_data)+2)),INDIRECT(ADDRESS(ROW(),COLUMN(mouser_part_data)+2)))</f>
        <v>0</v>
      </c>
      <c r="I117" s="11">
        <f>iferror(G117*H117,"")</f>
        <v>0</v>
      </c>
      <c r="J117">
        <v>210605</v>
      </c>
      <c r="L117" s="11">
        <f>iferror(lookup(if(K117="",G117,K117),{0,1,10,25,100,250,500,1000,2500,5000,10000,25000,50000,125000},{0.0,0.1,0.011,0.008,0.0044,0.00336,0.0027,0.00198,0.00172,0.00129,0.00112,0.00099,0.0009,0.00089}),"")</f>
        <v>0</v>
      </c>
      <c r="M117" s="11">
        <f>iferror(if(K117="",G117,K117)*L117,"")</f>
        <v>0</v>
      </c>
      <c r="N117" t="s">
        <v>496</v>
      </c>
      <c r="O117" s="12" t="s">
        <v>475</v>
      </c>
      <c r="V117">
        <v>11857</v>
      </c>
      <c r="X117" s="11">
        <f>iferror(lookup(if(W117="",G117,W117),{0,1,10,25,100,250,1000},{0.0,0.06,0.01,0.007,0.004,0.003,0.002}),"")</f>
        <v>0</v>
      </c>
      <c r="Y117" s="11">
        <f>iferror(if(W117="",G117,W117)*X117,"")</f>
        <v>0</v>
      </c>
      <c r="Z117" t="s">
        <v>597</v>
      </c>
      <c r="AA117" s="12" t="s">
        <v>475</v>
      </c>
    </row>
    <row r="118" spans="1:27">
      <c r="A118" t="s">
        <v>339</v>
      </c>
      <c r="B118" t="s">
        <v>319</v>
      </c>
      <c r="D118" t="s">
        <v>340</v>
      </c>
      <c r="F118" t="s">
        <v>317</v>
      </c>
      <c r="G118">
        <f>BoardQty*1</f>
        <v>0</v>
      </c>
      <c r="H118" s="11">
        <f>MINA(INDIRECT(ADDRESS(ROW(),COLUMN(newark_part_data)+2)),INDIRECT(ADDRESS(ROW(),COLUMN(digikey_part_data)+2)),INDIRECT(ADDRESS(ROW(),COLUMN(mouser_part_data)+2)))</f>
        <v>0</v>
      </c>
      <c r="I118" s="11">
        <f>iferror(G118*H118,"")</f>
        <v>0</v>
      </c>
      <c r="J118">
        <v>14541</v>
      </c>
      <c r="L118" s="11">
        <f>iferror(lookup(if(K118="",G118,K118),{0,1,10,100,500,1000,3000,6000,15000,30000,75000,150000},{0.0,0.28,0.229,0.1215,0.0799,0.05444,0.04761,0.0414,0.03519,0.03312,0.03105,0.02691}),"")</f>
        <v>0</v>
      </c>
      <c r="M118" s="11">
        <f>iferror(if(K118="",G118,K118)*L118,"")</f>
        <v>0</v>
      </c>
      <c r="N118" t="s">
        <v>540</v>
      </c>
      <c r="O118" s="12" t="s">
        <v>475</v>
      </c>
      <c r="V118">
        <v>3089</v>
      </c>
      <c r="X118" s="11">
        <f>iferror(lookup(if(W118="",G118,W118),{0,1,10,100,1000},{0.0,0.288,0.192,0.081,0.055}),"")</f>
        <v>0</v>
      </c>
      <c r="Y118" s="11">
        <f>iferror(if(W118="",G118,W118)*X118,"")</f>
        <v>0</v>
      </c>
      <c r="Z118" t="s">
        <v>626</v>
      </c>
      <c r="AA118" s="12" t="s">
        <v>475</v>
      </c>
    </row>
    <row r="119" spans="1:27">
      <c r="A119" t="s">
        <v>341</v>
      </c>
      <c r="B119" t="s">
        <v>343</v>
      </c>
      <c r="D119" t="s">
        <v>168</v>
      </c>
      <c r="F119" t="s">
        <v>342</v>
      </c>
      <c r="G119">
        <f>BoardQty*1</f>
        <v>0</v>
      </c>
      <c r="H119" s="11">
        <f>MINA(INDIRECT(ADDRESS(ROW(),COLUMN(newark_part_data)+2)),INDIRECT(ADDRESS(ROW(),COLUMN(digikey_part_data)+2)),INDIRECT(ADDRESS(ROW(),COLUMN(mouser_part_data)+2)))</f>
        <v>0</v>
      </c>
      <c r="I119" s="11">
        <f>iferror(G119*H119,"")</f>
        <v>0</v>
      </c>
      <c r="J119">
        <v>16418</v>
      </c>
      <c r="L119" s="11">
        <f>iferror(lookup(if(K119="",G119,K119),{0,1,10,100,500,1000,2500,5000,12500,25000,62500,125000},{0.0,0.47,0.351,0.2185,0.1495,0.115,0.1035,0.09775,0.08912,0.08338,0.07475,0.07188}),"")</f>
        <v>0</v>
      </c>
      <c r="M119" s="11">
        <f>iferror(if(K119="",G119,K119)*L119,"")</f>
        <v>0</v>
      </c>
      <c r="N119" t="s">
        <v>543</v>
      </c>
      <c r="O119" s="12" t="s">
        <v>475</v>
      </c>
      <c r="V119">
        <v>4451</v>
      </c>
      <c r="X119" s="11">
        <f>iferror(lookup(if(W119="",G119,W119),{0,1,10,100,1000,2500,10000,25000,50000},{0.0,0.3,0.212,0.098,0.075,0.064,0.058,0.054,0.049}),"")</f>
        <v>0</v>
      </c>
      <c r="Y119" s="11">
        <f>iferror(if(W119="",G119,W119)*X119,"")</f>
        <v>0</v>
      </c>
      <c r="Z119" t="s">
        <v>630</v>
      </c>
      <c r="AA119" s="12" t="s">
        <v>475</v>
      </c>
    </row>
    <row r="120" spans="1:27">
      <c r="A120" t="s">
        <v>344</v>
      </c>
      <c r="B120" t="s">
        <v>346</v>
      </c>
      <c r="D120" t="s">
        <v>12</v>
      </c>
      <c r="F120" t="s">
        <v>345</v>
      </c>
      <c r="G120">
        <f>BoardQty*4</f>
        <v>0</v>
      </c>
      <c r="H120" s="11">
        <f>MINA(INDIRECT(ADDRESS(ROW(),COLUMN(newark_part_data)+2)),INDIRECT(ADDRESS(ROW(),COLUMN(digikey_part_data)+2)),INDIRECT(ADDRESS(ROW(),COLUMN(mouser_part_data)+2)))</f>
        <v>0</v>
      </c>
      <c r="I120" s="11">
        <f>iferror(G120*H120,"")</f>
        <v>0</v>
      </c>
      <c r="J120">
        <v>1429298</v>
      </c>
      <c r="L120" s="11">
        <f>iferror(lookup(if(K120="",G120,K120),{0,1,10,25,100,250,500,1000,2500,5000,10000,25000,50000,125000},{0.0,0.1,0.014,0.01,0.0057,0.00436,0.00348,0.00257,0.00223,0.00167,0.00145,0.00128,0.00117,0.00115}),"")</f>
        <v>0</v>
      </c>
      <c r="M120" s="11">
        <f>iferror(if(K120="",G120,K120)*L120,"")</f>
        <v>0</v>
      </c>
      <c r="N120" t="s">
        <v>544</v>
      </c>
      <c r="O120" s="12" t="s">
        <v>475</v>
      </c>
      <c r="V120">
        <v>3693</v>
      </c>
      <c r="X120" s="11">
        <f>iferror(lookup(if(W120="",G120,W120),{0,1,10,25,100,250,1000},{0.0,0.08,0.014,0.01,0.006,0.004,0.003}),"")</f>
        <v>0</v>
      </c>
      <c r="Y120" s="11">
        <f>iferror(if(W120="",G120,W120)*X120,"")</f>
        <v>0</v>
      </c>
      <c r="Z120" t="s">
        <v>631</v>
      </c>
      <c r="AA120" s="12" t="s">
        <v>475</v>
      </c>
    </row>
    <row r="121" spans="1:27">
      <c r="A121" t="s">
        <v>347</v>
      </c>
      <c r="B121" t="s">
        <v>350</v>
      </c>
      <c r="D121" t="s">
        <v>349</v>
      </c>
      <c r="F121" t="s">
        <v>348</v>
      </c>
      <c r="G121">
        <f>BoardQty*5</f>
        <v>0</v>
      </c>
      <c r="H121" s="11">
        <f>MINA(INDIRECT(ADDRESS(ROW(),COLUMN(newark_part_data)+2)),INDIRECT(ADDRESS(ROW(),COLUMN(digikey_part_data)+2)),INDIRECT(ADDRESS(ROW(),COLUMN(mouser_part_data)+2)))</f>
        <v>0</v>
      </c>
      <c r="I121" s="11">
        <f>iferror(G121*H121,"")</f>
        <v>0</v>
      </c>
      <c r="J121">
        <v>33560</v>
      </c>
      <c r="L121" s="11">
        <f>iferror(lookup(if(K121="",G121,K121),{0,1,10,50,100,250,500,1000,2500,5000},{0.0,0.42,0.399,0.2908,0.2793,0.2508,0.2394,0.1995,0.1824,0.171}),"")</f>
        <v>0</v>
      </c>
      <c r="M121" s="11">
        <f>iferror(if(K121="",G121,K121)*L121,"")</f>
        <v>0</v>
      </c>
      <c r="N121" t="s">
        <v>545</v>
      </c>
      <c r="O121" s="12" t="s">
        <v>475</v>
      </c>
      <c r="V121">
        <v>1295</v>
      </c>
      <c r="X121" s="11">
        <f>iferror(lookup(if(W121="",G121,W121),{0,1,10,100,500,1000},{0.0,0.708,0.64,0.568,0.495,0.422}),"")</f>
        <v>0</v>
      </c>
      <c r="Y121" s="11">
        <f>iferror(if(W121="",G121,W121)*X121,"")</f>
        <v>0</v>
      </c>
      <c r="Z121" t="s">
        <v>632</v>
      </c>
      <c r="AA121" s="12" t="s">
        <v>475</v>
      </c>
    </row>
    <row r="122" spans="1:27">
      <c r="A122" t="s">
        <v>351</v>
      </c>
      <c r="B122" t="s">
        <v>353</v>
      </c>
      <c r="D122" t="s">
        <v>352</v>
      </c>
      <c r="G122">
        <f>BoardQty*1</f>
        <v>0</v>
      </c>
      <c r="H122" s="11">
        <f>MINA(INDIRECT(ADDRESS(ROW(),COLUMN(newark_part_data)+2)),INDIRECT(ADDRESS(ROW(),COLUMN(digikey_part_data)+2)),INDIRECT(ADDRESS(ROW(),COLUMN(mouser_part_data)+2)))</f>
        <v>0</v>
      </c>
      <c r="I122" s="11">
        <f>iferror(G122*H122,"")</f>
        <v>0</v>
      </c>
    </row>
    <row r="123" spans="1:27">
      <c r="A123" t="s">
        <v>354</v>
      </c>
      <c r="B123" t="s">
        <v>356</v>
      </c>
      <c r="D123" t="s">
        <v>69</v>
      </c>
      <c r="F123" t="s">
        <v>355</v>
      </c>
      <c r="G123">
        <f>BoardQty*2</f>
        <v>0</v>
      </c>
      <c r="H123" s="11">
        <f>MINA(INDIRECT(ADDRESS(ROW(),COLUMN(newark_part_data)+2)),INDIRECT(ADDRESS(ROW(),COLUMN(digikey_part_data)+2)),INDIRECT(ADDRESS(ROW(),COLUMN(mouser_part_data)+2)))</f>
        <v>0</v>
      </c>
      <c r="I123" s="11">
        <f>iferror(G123*H123,"")</f>
        <v>0</v>
      </c>
      <c r="O123" s="12" t="s">
        <v>475</v>
      </c>
    </row>
    <row r="124" spans="1:27">
      <c r="A124" t="s">
        <v>357</v>
      </c>
      <c r="B124" t="s">
        <v>358</v>
      </c>
      <c r="D124" t="s">
        <v>340</v>
      </c>
      <c r="F124" t="s">
        <v>358</v>
      </c>
      <c r="G124">
        <f>BoardQty*1</f>
        <v>0</v>
      </c>
      <c r="H124" s="11">
        <f>MINA(INDIRECT(ADDRESS(ROW(),COLUMN(newark_part_data)+2)),INDIRECT(ADDRESS(ROW(),COLUMN(digikey_part_data)+2)),INDIRECT(ADDRESS(ROW(),COLUMN(mouser_part_data)+2)))</f>
        <v>0</v>
      </c>
      <c r="I124" s="11">
        <f>iferror(G124*H124,"")</f>
        <v>0</v>
      </c>
      <c r="J124">
        <v>6007</v>
      </c>
      <c r="L124" s="11">
        <f>iferror(lookup(if(K124="",G124,K124),{0,1,10,100,500,1000,4000,8000,12000,28000,100000,200000},{0.0,0.36,0.292,0.199,0.14894,0.11156,0.0995,0.09347,0.08744,0.0802,0.07538,0.07417}),"")</f>
        <v>0</v>
      </c>
      <c r="M124" s="11">
        <f>iferror(if(K124="",G124,K124)*L124,"")</f>
        <v>0</v>
      </c>
      <c r="N124" t="s">
        <v>546</v>
      </c>
      <c r="O124" s="12" t="s">
        <v>475</v>
      </c>
      <c r="AA124" s="12" t="s">
        <v>475</v>
      </c>
    </row>
    <row r="125" spans="1:27">
      <c r="A125" t="s">
        <v>359</v>
      </c>
      <c r="B125" t="s">
        <v>360</v>
      </c>
      <c r="D125" t="s">
        <v>69</v>
      </c>
      <c r="G125">
        <f>BoardQty*1</f>
        <v>0</v>
      </c>
      <c r="H125" s="11">
        <f>MINA(INDIRECT(ADDRESS(ROW(),COLUMN(newark_part_data)+2)),INDIRECT(ADDRESS(ROW(),COLUMN(digikey_part_data)+2)),INDIRECT(ADDRESS(ROW(),COLUMN(mouser_part_data)+2)))</f>
        <v>0</v>
      </c>
      <c r="I125" s="11">
        <f>iferror(G125*H125,"")</f>
        <v>0</v>
      </c>
    </row>
    <row r="126" spans="1:27">
      <c r="A126" t="s">
        <v>361</v>
      </c>
      <c r="B126" t="s">
        <v>363</v>
      </c>
      <c r="D126" t="s">
        <v>20</v>
      </c>
      <c r="F126" t="s">
        <v>362</v>
      </c>
      <c r="G126">
        <f>BoardQty*1</f>
        <v>0</v>
      </c>
      <c r="H126" s="11">
        <f>MINA(INDIRECT(ADDRESS(ROW(),COLUMN(newark_part_data)+2)),INDIRECT(ADDRESS(ROW(),COLUMN(digikey_part_data)+2)),INDIRECT(ADDRESS(ROW(),COLUMN(mouser_part_data)+2)))</f>
        <v>0</v>
      </c>
      <c r="I126" s="11">
        <f>iferror(G126*H126,"")</f>
        <v>0</v>
      </c>
      <c r="J126">
        <v>4951</v>
      </c>
      <c r="L126" s="11">
        <f>iferror(lookup(if(K126="",G126,K126),{0,1,25,100,2500},{0.0,0.82,0.68,0.62,0.62}),"")</f>
        <v>0</v>
      </c>
      <c r="M126" s="11">
        <f>iferror(if(K126="",G126,K126)*L126,"")</f>
        <v>0</v>
      </c>
      <c r="N126" t="s">
        <v>547</v>
      </c>
      <c r="O126" s="12" t="s">
        <v>475</v>
      </c>
      <c r="V126">
        <v>555</v>
      </c>
      <c r="X126" s="11">
        <f>iferror(lookup(if(W126="",G126,W126),{0,1,25,100,500,1000},{0.0,1.07,0.955,0.866,0.774,0.722}),"")</f>
        <v>0</v>
      </c>
      <c r="Y126" s="11">
        <f>iferror(if(W126="",G126,W126)*X126,"")</f>
        <v>0</v>
      </c>
      <c r="Z126" t="s">
        <v>633</v>
      </c>
      <c r="AA126" s="12" t="s">
        <v>475</v>
      </c>
    </row>
    <row r="127" spans="1:27">
      <c r="A127" t="s">
        <v>364</v>
      </c>
      <c r="B127" t="s">
        <v>366</v>
      </c>
      <c r="D127" t="s">
        <v>12</v>
      </c>
      <c r="F127" t="s">
        <v>365</v>
      </c>
      <c r="G127">
        <f>BoardQty*1</f>
        <v>0</v>
      </c>
      <c r="H127" s="11">
        <f>MINA(INDIRECT(ADDRESS(ROW(),COLUMN(newark_part_data)+2)),INDIRECT(ADDRESS(ROW(),COLUMN(digikey_part_data)+2)),INDIRECT(ADDRESS(ROW(),COLUMN(mouser_part_data)+2)))</f>
        <v>0</v>
      </c>
      <c r="I127" s="11">
        <f>iferror(G127*H127,"")</f>
        <v>0</v>
      </c>
      <c r="J127">
        <v>230274</v>
      </c>
      <c r="L127" s="11">
        <f>iferror(lookup(if(K127="",G127,K127),{0,1,10,25,100,250,500,1000,2500,5000,10000,25000,50000,125000},{0.0,0.1,0.014,0.01,0.0057,0.00436,0.00348,0.00257,0.00223,0.00167,0.00145,0.00128,0.00117,0.00115}),"")</f>
        <v>0</v>
      </c>
      <c r="M127" s="11">
        <f>iferror(if(K127="",G127,K127)*L127,"")</f>
        <v>0</v>
      </c>
      <c r="N127" t="s">
        <v>519</v>
      </c>
      <c r="O127" s="12" t="s">
        <v>475</v>
      </c>
      <c r="AA127" s="12" t="s">
        <v>475</v>
      </c>
    </row>
    <row r="128" spans="1:27">
      <c r="A128" t="s">
        <v>367</v>
      </c>
      <c r="B128" t="s">
        <v>369</v>
      </c>
      <c r="D128" t="s">
        <v>368</v>
      </c>
      <c r="G128">
        <f>BoardQty*5</f>
        <v>0</v>
      </c>
      <c r="H128" s="11">
        <f>MINA(INDIRECT(ADDRESS(ROW(),COLUMN(newark_part_data)+2)),INDIRECT(ADDRESS(ROW(),COLUMN(digikey_part_data)+2)),INDIRECT(ADDRESS(ROW(),COLUMN(mouser_part_data)+2)))</f>
        <v>0</v>
      </c>
      <c r="I128" s="11">
        <f>iferror(G128*H128,"")</f>
        <v>0</v>
      </c>
    </row>
    <row r="129" spans="1:27">
      <c r="A129" t="s">
        <v>370</v>
      </c>
      <c r="B129" t="s">
        <v>373</v>
      </c>
      <c r="D129" t="s">
        <v>372</v>
      </c>
      <c r="F129" t="s">
        <v>371</v>
      </c>
      <c r="G129">
        <f>BoardQty*1</f>
        <v>0</v>
      </c>
      <c r="H129" s="11">
        <f>MINA(INDIRECT(ADDRESS(ROW(),COLUMN(newark_part_data)+2)),INDIRECT(ADDRESS(ROW(),COLUMN(digikey_part_data)+2)),INDIRECT(ADDRESS(ROW(),COLUMN(mouser_part_data)+2)))</f>
        <v>0</v>
      </c>
      <c r="I129" s="11">
        <f>iferror(G129*H129,"")</f>
        <v>0</v>
      </c>
      <c r="J129">
        <v>8781</v>
      </c>
      <c r="L129" s="11">
        <f>iferror(lookup(if(K129="",G129,K129),{0,1,10,50,100,160,250,500,1000},{0.0,6.71,6.2,5.77,5.4,5.4,4.56,4.06,3.69999}),"")</f>
        <v>0</v>
      </c>
      <c r="M129" s="11">
        <f>iferror(if(K129="",G129,K129)*L129,"")</f>
        <v>0</v>
      </c>
      <c r="N129" t="s">
        <v>548</v>
      </c>
      <c r="O129" s="12" t="s">
        <v>475</v>
      </c>
      <c r="V129">
        <v>5497</v>
      </c>
      <c r="X129" s="11">
        <f>iferror(lookup(if(W129="",G129,W129),{0,1,50,100,250,500},{0.0,10.23,9.24,8.51,7.84,7.33}),"")</f>
        <v>0</v>
      </c>
      <c r="Y129" s="11">
        <f>iferror(if(W129="",G129,W129)*X129,"")</f>
        <v>0</v>
      </c>
      <c r="Z129" t="s">
        <v>634</v>
      </c>
      <c r="AA129" s="12" t="s">
        <v>475</v>
      </c>
    </row>
    <row r="130" spans="1:27">
      <c r="A130" t="s">
        <v>374</v>
      </c>
      <c r="B130" t="s">
        <v>376</v>
      </c>
      <c r="D130" t="s">
        <v>243</v>
      </c>
      <c r="F130" t="s">
        <v>375</v>
      </c>
      <c r="G130">
        <f>BoardQty*4</f>
        <v>0</v>
      </c>
      <c r="H130" s="11">
        <f>MINA(INDIRECT(ADDRESS(ROW(),COLUMN(newark_part_data)+2)),INDIRECT(ADDRESS(ROW(),COLUMN(digikey_part_data)+2)),INDIRECT(ADDRESS(ROW(),COLUMN(mouser_part_data)+2)))</f>
        <v>0</v>
      </c>
      <c r="I130" s="11">
        <f>iferror(G130*H130,"")</f>
        <v>0</v>
      </c>
      <c r="J130">
        <v>417784</v>
      </c>
      <c r="L130" s="11">
        <f>iferror(lookup(if(K130="",G130,K130),{0,1,10,100,500,1000,3000,6000,15000,30000,75000,150000},{0.0,0.4,0.331,0.1755,0.11542,0.07864,0.06877,0.0598,0.05083,0.04784,0.04485,0.03887}),"")</f>
        <v>0</v>
      </c>
      <c r="M130" s="11">
        <f>iferror(if(K130="",G130,K130)*L130,"")</f>
        <v>0</v>
      </c>
      <c r="N130" t="s">
        <v>549</v>
      </c>
      <c r="O130" s="12" t="s">
        <v>475</v>
      </c>
      <c r="V130">
        <v>2264</v>
      </c>
      <c r="X130" s="11">
        <f>iferror(lookup(if(W130="",G130,W130),{0,1,10,100,1000},{0.0,0.391,0.269,0.113,0.077}),"")</f>
        <v>0</v>
      </c>
      <c r="Y130" s="11">
        <f>iferror(if(W130="",G130,W130)*X130,"")</f>
        <v>0</v>
      </c>
      <c r="Z130" t="s">
        <v>635</v>
      </c>
      <c r="AA130" s="12" t="s">
        <v>475</v>
      </c>
    </row>
    <row r="131" spans="1:27">
      <c r="A131" t="s">
        <v>377</v>
      </c>
      <c r="B131" t="s">
        <v>379</v>
      </c>
      <c r="D131" t="s">
        <v>69</v>
      </c>
      <c r="F131" t="s">
        <v>378</v>
      </c>
      <c r="G131">
        <f>BoardQty*4</f>
        <v>0</v>
      </c>
      <c r="H131" s="11">
        <f>MINA(INDIRECT(ADDRESS(ROW(),COLUMN(newark_part_data)+2)),INDIRECT(ADDRESS(ROW(),COLUMN(digikey_part_data)+2)),INDIRECT(ADDRESS(ROW(),COLUMN(mouser_part_data)+2)))</f>
        <v>0</v>
      </c>
      <c r="I131" s="11">
        <f>iferror(G131*H131,"")</f>
        <v>0</v>
      </c>
      <c r="J131">
        <v>50077</v>
      </c>
      <c r="L131" s="11">
        <f>iferror(lookup(if(K131="",G131,K131),{0,1,10,50,100,250,500,1000,2500,5000,15000,30000,75000,105000},{0.0,0.37,0.309,0.1738,0.1544,0.1158,0.1023,0.09071,0.08106,0.07527,0.06408,0.06176,0.0579,0.05115}),"")</f>
        <v>0</v>
      </c>
      <c r="M131" s="11">
        <f>iferror(if(K131="",G131,K131)*L131,"")</f>
        <v>0</v>
      </c>
      <c r="N131" t="s">
        <v>550</v>
      </c>
      <c r="O131" s="12" t="s">
        <v>475</v>
      </c>
      <c r="AA131" s="12" t="s">
        <v>475</v>
      </c>
    </row>
    <row r="132" spans="1:27">
      <c r="A132" t="s">
        <v>380</v>
      </c>
      <c r="B132" t="s">
        <v>383</v>
      </c>
      <c r="D132" t="s">
        <v>382</v>
      </c>
      <c r="F132" t="s">
        <v>381</v>
      </c>
      <c r="G132">
        <f>BoardQty*1</f>
        <v>0</v>
      </c>
      <c r="H132" s="11">
        <f>MINA(INDIRECT(ADDRESS(ROW(),COLUMN(newark_part_data)+2)),INDIRECT(ADDRESS(ROW(),COLUMN(digikey_part_data)+2)),INDIRECT(ADDRESS(ROW(),COLUMN(mouser_part_data)+2)))</f>
        <v>0</v>
      </c>
      <c r="I132" s="11">
        <f>iferror(G132*H132,"")</f>
        <v>0</v>
      </c>
      <c r="J132">
        <v>2427</v>
      </c>
      <c r="L132" s="11">
        <f>iferror(lookup(if(K132="",G132,K132),{0,1,10,25,50,100,250,500,1000,2000,4000,6000,10000},{0.0,0.63,0.594,0.5472,0.5004,0.4158,0.378,0.3204,0.2826,0.252,0.2475,0.243,0.234}),"")</f>
        <v>0</v>
      </c>
      <c r="M132" s="11">
        <f>iferror(if(K132="",G132,K132)*L132,"")</f>
        <v>0</v>
      </c>
      <c r="N132" t="s">
        <v>551</v>
      </c>
      <c r="O132" s="12" t="s">
        <v>475</v>
      </c>
      <c r="V132">
        <v>46</v>
      </c>
      <c r="X132" s="11">
        <f>iferror(lookup(if(W132="",G132,W132),{0,1,10,100,250,500,1000},{0.0,0.609,0.501,0.432,0.411,0.375,0.301}),"")</f>
        <v>0</v>
      </c>
      <c r="Y132" s="11">
        <f>iferror(if(W132="",G132,W132)*X132,"")</f>
        <v>0</v>
      </c>
      <c r="Z132" t="s">
        <v>636</v>
      </c>
      <c r="AA132" s="12" t="s">
        <v>475</v>
      </c>
    </row>
    <row r="133" spans="1:27">
      <c r="A133" t="s">
        <v>384</v>
      </c>
      <c r="B133" t="s">
        <v>385</v>
      </c>
      <c r="D133" t="s">
        <v>368</v>
      </c>
      <c r="G133">
        <f>BoardQty*5</f>
        <v>0</v>
      </c>
      <c r="H133" s="11">
        <f>MINA(INDIRECT(ADDRESS(ROW(),COLUMN(newark_part_data)+2)),INDIRECT(ADDRESS(ROW(),COLUMN(digikey_part_data)+2)),INDIRECT(ADDRESS(ROW(),COLUMN(mouser_part_data)+2)))</f>
        <v>0</v>
      </c>
      <c r="I133" s="11">
        <f>iferror(G133*H133,"")</f>
        <v>0</v>
      </c>
    </row>
    <row r="134" spans="1:27">
      <c r="A134" t="s">
        <v>386</v>
      </c>
      <c r="B134" t="s">
        <v>388</v>
      </c>
      <c r="D134" t="s">
        <v>12</v>
      </c>
      <c r="F134" t="s">
        <v>387</v>
      </c>
      <c r="G134">
        <f>BoardQty*2</f>
        <v>0</v>
      </c>
      <c r="H134" s="11">
        <f>MINA(INDIRECT(ADDRESS(ROW(),COLUMN(newark_part_data)+2)),INDIRECT(ADDRESS(ROW(),COLUMN(digikey_part_data)+2)),INDIRECT(ADDRESS(ROW(),COLUMN(mouser_part_data)+2)))</f>
        <v>0</v>
      </c>
      <c r="I134" s="11">
        <f>iferror(G134*H134,"")</f>
        <v>0</v>
      </c>
      <c r="J134">
        <v>81746</v>
      </c>
      <c r="L134" s="11">
        <f>iferror(lookup(if(K134="",G134,K134),{0,1,10,25,100,250,500,1000,2500,5000,10000,25000,50000,125000},{0.0,0.1,0.014,0.01,0.0057,0.00436,0.00348,0.00257,0.00223,0.00167,0.00145,0.00128,0.00117,0.00115}),"")</f>
        <v>0</v>
      </c>
      <c r="M134" s="11">
        <f>iferror(if(K134="",G134,K134)*L134,"")</f>
        <v>0</v>
      </c>
      <c r="N134" t="s">
        <v>552</v>
      </c>
      <c r="O134" s="12" t="s">
        <v>475</v>
      </c>
      <c r="V134">
        <v>10000</v>
      </c>
      <c r="X134" s="11">
        <f>iferror(lookup(if(W134="",G134,W134),{0,1,15000},{0.0,0.003,0.003}),"")</f>
        <v>0</v>
      </c>
      <c r="Y134" s="11">
        <f>iferror(if(W134="",G134,W134)*X134,"")</f>
        <v>0</v>
      </c>
      <c r="Z134" t="s">
        <v>637</v>
      </c>
      <c r="AA134" s="12" t="s">
        <v>475</v>
      </c>
    </row>
    <row r="135" spans="1:27">
      <c r="A135" t="s">
        <v>389</v>
      </c>
      <c r="B135" t="s">
        <v>391</v>
      </c>
      <c r="D135" t="s">
        <v>12</v>
      </c>
      <c r="F135" t="s">
        <v>390</v>
      </c>
      <c r="G135">
        <f>BoardQty*2</f>
        <v>0</v>
      </c>
      <c r="H135" s="11">
        <f>MINA(INDIRECT(ADDRESS(ROW(),COLUMN(newark_part_data)+2)),INDIRECT(ADDRESS(ROW(),COLUMN(digikey_part_data)+2)),INDIRECT(ADDRESS(ROW(),COLUMN(mouser_part_data)+2)))</f>
        <v>0</v>
      </c>
      <c r="I135" s="11">
        <f>iferror(G135*H135,"")</f>
        <v>0</v>
      </c>
      <c r="J135">
        <v>795094</v>
      </c>
      <c r="L135" s="11">
        <f>iferror(lookup(if(K135="",G135,K135),{0,1,10,25,100,250,500,1000,2500,5000,10000,25000,50000,125000},{0.0,0.1,0.011,0.008,0.0044,0.00336,0.0027,0.00198,0.00172,0.00129,0.00112,0.00099,0.0009,0.00089}),"")</f>
        <v>0</v>
      </c>
      <c r="M135" s="11">
        <f>iferror(if(K135="",G135,K135)*L135,"")</f>
        <v>0</v>
      </c>
      <c r="N135" t="s">
        <v>553</v>
      </c>
      <c r="O135" s="12" t="s">
        <v>475</v>
      </c>
      <c r="V135">
        <v>4307</v>
      </c>
      <c r="X135" s="11">
        <f>iferror(lookup(if(W135="",G135,W135),{0,1,10,25,100,250,1000},{0.0,0.06,0.01,0.007,0.004,0.003,0.002}),"")</f>
        <v>0</v>
      </c>
      <c r="Y135" s="11">
        <f>iferror(if(W135="",G135,W135)*X135,"")</f>
        <v>0</v>
      </c>
      <c r="Z135" t="s">
        <v>638</v>
      </c>
      <c r="AA135" s="12" t="s">
        <v>475</v>
      </c>
    </row>
    <row r="136" spans="1:27">
      <c r="A136" t="s">
        <v>392</v>
      </c>
      <c r="B136" t="s">
        <v>391</v>
      </c>
      <c r="D136" t="s">
        <v>12</v>
      </c>
      <c r="F136" t="s">
        <v>393</v>
      </c>
      <c r="G136">
        <f>BoardQty*1</f>
        <v>0</v>
      </c>
      <c r="H136" s="11">
        <f>MINA(INDIRECT(ADDRESS(ROW(),COLUMN(newark_part_data)+2)),INDIRECT(ADDRESS(ROW(),COLUMN(digikey_part_data)+2)),INDIRECT(ADDRESS(ROW(),COLUMN(mouser_part_data)+2)))</f>
        <v>0</v>
      </c>
      <c r="I136" s="11">
        <f>iferror(G136*H136,"")</f>
        <v>0</v>
      </c>
      <c r="J136">
        <v>795094</v>
      </c>
      <c r="L136" s="11">
        <f>iferror(lookup(if(K136="",G136,K136),{0,1,10,25,100,250,500,1000,2500,5000,10000,25000,50000,125000},{0.0,0.1,0.011,0.008,0.0044,0.00336,0.0027,0.00198,0.00172,0.00129,0.00112,0.00099,0.0009,0.00089}),"")</f>
        <v>0</v>
      </c>
      <c r="M136" s="11">
        <f>iferror(if(K136="",G136,K136)*L136,"")</f>
        <v>0</v>
      </c>
      <c r="N136" t="s">
        <v>553</v>
      </c>
      <c r="O136" s="12" t="s">
        <v>475</v>
      </c>
      <c r="V136">
        <v>4307</v>
      </c>
      <c r="X136" s="11">
        <f>iferror(lookup(if(W136="",G136,W136),{0,1,10,25,100,250,1000},{0.0,0.06,0.01,0.007,0.004,0.003,0.002}),"")</f>
        <v>0</v>
      </c>
      <c r="Y136" s="11">
        <f>iferror(if(W136="",G136,W136)*X136,"")</f>
        <v>0</v>
      </c>
      <c r="Z136" t="s">
        <v>638</v>
      </c>
      <c r="AA136" s="12" t="s">
        <v>475</v>
      </c>
    </row>
    <row r="137" spans="1:27">
      <c r="A137" t="s">
        <v>394</v>
      </c>
      <c r="B137" t="s">
        <v>397</v>
      </c>
      <c r="D137" t="s">
        <v>396</v>
      </c>
      <c r="F137" t="s">
        <v>395</v>
      </c>
      <c r="G137">
        <f>BoardQty*2</f>
        <v>0</v>
      </c>
      <c r="H137" s="11">
        <f>MINA(INDIRECT(ADDRESS(ROW(),COLUMN(newark_part_data)+2)),INDIRECT(ADDRESS(ROW(),COLUMN(digikey_part_data)+2)),INDIRECT(ADDRESS(ROW(),COLUMN(mouser_part_data)+2)))</f>
        <v>0</v>
      </c>
      <c r="I137" s="11">
        <f>iferror(G137*H137,"")</f>
        <v>0</v>
      </c>
      <c r="J137">
        <v>162850</v>
      </c>
      <c r="L137" s="11">
        <f>iferror(lookup(if(K137="",G137,K137),{0,1,10,100,250,500,1000,4000,8000,12000,28000,100000},{0.0,0.1,0.073,0.0436,0.03168,0.02904,0.02508,0.0192,0.0174,0.0168,0.0156,0.01542}),"")</f>
        <v>0</v>
      </c>
      <c r="M137" s="11">
        <f>iferror(if(K137="",G137,K137)*L137,"")</f>
        <v>0</v>
      </c>
      <c r="N137" t="s">
        <v>554</v>
      </c>
      <c r="O137" s="12" t="s">
        <v>475</v>
      </c>
      <c r="V137">
        <v>4497</v>
      </c>
      <c r="X137" s="11">
        <f>iferror(lookup(if(W137="",G137,W137),{0,1,10,100,250,500,1000},{0.0,0.172,0.12,0.057,0.048,0.04,0.033}),"")</f>
        <v>0</v>
      </c>
      <c r="Y137" s="11">
        <f>iferror(if(W137="",G137,W137)*X137,"")</f>
        <v>0</v>
      </c>
      <c r="Z137" t="s">
        <v>639</v>
      </c>
      <c r="AA137" s="12" t="s">
        <v>475</v>
      </c>
    </row>
    <row r="138" spans="1:27">
      <c r="A138" t="s">
        <v>398</v>
      </c>
      <c r="B138" t="s">
        <v>397</v>
      </c>
      <c r="D138" t="s">
        <v>57</v>
      </c>
      <c r="F138" t="s">
        <v>395</v>
      </c>
      <c r="G138">
        <f>BoardQty*2</f>
        <v>0</v>
      </c>
      <c r="H138" s="11">
        <f>MINA(INDIRECT(ADDRESS(ROW(),COLUMN(newark_part_data)+2)),INDIRECT(ADDRESS(ROW(),COLUMN(digikey_part_data)+2)),INDIRECT(ADDRESS(ROW(),COLUMN(mouser_part_data)+2)))</f>
        <v>0</v>
      </c>
      <c r="I138" s="11">
        <f>iferror(G138*H138,"")</f>
        <v>0</v>
      </c>
      <c r="J138">
        <v>162850</v>
      </c>
      <c r="L138" s="11">
        <f>iferror(lookup(if(K138="",G138,K138),{0,1,10,100,250,500,1000,4000,8000,12000,28000,100000},{0.0,0.1,0.073,0.0436,0.03168,0.02904,0.02508,0.0192,0.0174,0.0168,0.0156,0.01542}),"")</f>
        <v>0</v>
      </c>
      <c r="M138" s="11">
        <f>iferror(if(K138="",G138,K138)*L138,"")</f>
        <v>0</v>
      </c>
      <c r="N138" t="s">
        <v>554</v>
      </c>
      <c r="O138" s="12" t="s">
        <v>475</v>
      </c>
      <c r="V138">
        <v>4497</v>
      </c>
      <c r="X138" s="11">
        <f>iferror(lookup(if(W138="",G138,W138),{0,1,10,100,250,500,1000},{0.0,0.172,0.12,0.057,0.048,0.04,0.033}),"")</f>
        <v>0</v>
      </c>
      <c r="Y138" s="11">
        <f>iferror(if(W138="",G138,W138)*X138,"")</f>
        <v>0</v>
      </c>
      <c r="Z138" t="s">
        <v>639</v>
      </c>
      <c r="AA138" s="12" t="s">
        <v>475</v>
      </c>
    </row>
    <row r="139" spans="1:27">
      <c r="A139" t="s">
        <v>399</v>
      </c>
      <c r="B139" t="s">
        <v>397</v>
      </c>
      <c r="D139" t="s">
        <v>57</v>
      </c>
      <c r="F139" t="s">
        <v>400</v>
      </c>
      <c r="G139">
        <f>BoardQty*6</f>
        <v>0</v>
      </c>
      <c r="H139" s="11">
        <f>MINA(INDIRECT(ADDRESS(ROW(),COLUMN(newark_part_data)+2)),INDIRECT(ADDRESS(ROW(),COLUMN(digikey_part_data)+2)),INDIRECT(ADDRESS(ROW(),COLUMN(mouser_part_data)+2)))</f>
        <v>0</v>
      </c>
      <c r="I139" s="11">
        <f>iferror(G139*H139,"")</f>
        <v>0</v>
      </c>
      <c r="J139">
        <v>162850</v>
      </c>
      <c r="L139" s="11">
        <f>iferror(lookup(if(K139="",G139,K139),{0,1,10,100,250,500,1000,4000,8000,12000,28000,100000},{0.0,0.1,0.073,0.0436,0.03168,0.02904,0.02508,0.0192,0.0174,0.0168,0.0156,0.01542}),"")</f>
        <v>0</v>
      </c>
      <c r="M139" s="11">
        <f>iferror(if(K139="",G139,K139)*L139,"")</f>
        <v>0</v>
      </c>
      <c r="N139" t="s">
        <v>554</v>
      </c>
      <c r="O139" s="12" t="s">
        <v>475</v>
      </c>
      <c r="V139">
        <v>4497</v>
      </c>
      <c r="X139" s="11">
        <f>iferror(lookup(if(W139="",G139,W139),{0,1,10,100,250,500,1000},{0.0,0.172,0.12,0.057,0.048,0.04,0.033}),"")</f>
        <v>0</v>
      </c>
      <c r="Y139" s="11">
        <f>iferror(if(W139="",G139,W139)*X139,"")</f>
        <v>0</v>
      </c>
      <c r="Z139" t="s">
        <v>639</v>
      </c>
      <c r="AA139" s="12" t="s">
        <v>475</v>
      </c>
    </row>
    <row r="140" spans="1:27">
      <c r="A140" t="s">
        <v>401</v>
      </c>
      <c r="B140" t="s">
        <v>402</v>
      </c>
      <c r="D140" t="s">
        <v>12</v>
      </c>
      <c r="F140" t="s">
        <v>109</v>
      </c>
      <c r="G140">
        <f>BoardQty*9</f>
        <v>0</v>
      </c>
      <c r="H140" s="11">
        <f>MINA(INDIRECT(ADDRESS(ROW(),COLUMN(newark_part_data)+2)),INDIRECT(ADDRESS(ROW(),COLUMN(digikey_part_data)+2)),INDIRECT(ADDRESS(ROW(),COLUMN(mouser_part_data)+2)))</f>
        <v>0</v>
      </c>
      <c r="I140" s="11">
        <f>iferror(G140*H140,"")</f>
        <v>0</v>
      </c>
      <c r="J140">
        <v>2159307</v>
      </c>
      <c r="L140" s="11">
        <f>iferror(lookup(if(K140="",G140,K140),{0,1,10,25,100,250,500,1000,2500,5000,10000,25000,50000,125000},{0.0,0.1,0.011,0.008,0.0044,0.00336,0.0027,0.00198,0.00172,0.00129,0.00112,0.00099,0.0009,0.00089}),"")</f>
        <v>0</v>
      </c>
      <c r="M140" s="11">
        <f>iferror(if(K140="",G140,K140)*L140,"")</f>
        <v>0</v>
      </c>
      <c r="N140" t="s">
        <v>497</v>
      </c>
      <c r="O140" s="12" t="s">
        <v>475</v>
      </c>
      <c r="AA140" s="12" t="s">
        <v>475</v>
      </c>
    </row>
    <row r="141" spans="1:27">
      <c r="A141" t="s">
        <v>403</v>
      </c>
      <c r="B141" t="s">
        <v>402</v>
      </c>
      <c r="D141" t="s">
        <v>12</v>
      </c>
      <c r="F141" t="s">
        <v>404</v>
      </c>
      <c r="G141">
        <f>BoardQty*8</f>
        <v>0</v>
      </c>
      <c r="H141" s="11">
        <f>MINA(INDIRECT(ADDRESS(ROW(),COLUMN(newark_part_data)+2)),INDIRECT(ADDRESS(ROW(),COLUMN(digikey_part_data)+2)),INDIRECT(ADDRESS(ROW(),COLUMN(mouser_part_data)+2)))</f>
        <v>0</v>
      </c>
      <c r="I141" s="11">
        <f>iferror(G141*H141,"")</f>
        <v>0</v>
      </c>
      <c r="J141">
        <v>2159307</v>
      </c>
      <c r="L141" s="11">
        <f>iferror(lookup(if(K141="",G141,K141),{0,1,10,25,100,250,500,1000,2500,5000,10000,25000,50000,125000},{0.0,0.1,0.011,0.008,0.0044,0.00336,0.0027,0.00198,0.00172,0.00129,0.00112,0.00099,0.0009,0.00089}),"")</f>
        <v>0</v>
      </c>
      <c r="M141" s="11">
        <f>iferror(if(K141="",G141,K141)*L141,"")</f>
        <v>0</v>
      </c>
      <c r="N141" t="s">
        <v>497</v>
      </c>
      <c r="O141" s="12" t="s">
        <v>475</v>
      </c>
      <c r="AA141" s="12" t="s">
        <v>475</v>
      </c>
    </row>
    <row r="142" spans="1:27">
      <c r="A142" t="s">
        <v>405</v>
      </c>
      <c r="B142" t="s">
        <v>408</v>
      </c>
      <c r="D142" t="s">
        <v>407</v>
      </c>
      <c r="F142" t="s">
        <v>406</v>
      </c>
      <c r="G142">
        <f>BoardQty*1</f>
        <v>0</v>
      </c>
      <c r="H142" s="11">
        <f>MINA(INDIRECT(ADDRESS(ROW(),COLUMN(newark_part_data)+2)),INDIRECT(ADDRESS(ROW(),COLUMN(digikey_part_data)+2)),INDIRECT(ADDRESS(ROW(),COLUMN(mouser_part_data)+2)))</f>
        <v>0</v>
      </c>
      <c r="I142" s="11">
        <f>iferror(G142*H142,"")</f>
        <v>0</v>
      </c>
      <c r="J142">
        <v>62</v>
      </c>
      <c r="L142" s="11">
        <f>iferror(lookup(if(K142="",G142,K142),{0,1,25,100,700},{0.0,13.07,11.98,10.85,10.85999}),"")</f>
        <v>0</v>
      </c>
      <c r="M142" s="11">
        <f>iferror(if(K142="",G142,K142)*L142,"")</f>
        <v>0</v>
      </c>
      <c r="N142" t="s">
        <v>555</v>
      </c>
      <c r="O142" s="12" t="s">
        <v>475</v>
      </c>
      <c r="AA142" s="12" t="s">
        <v>475</v>
      </c>
    </row>
    <row r="143" spans="1:27">
      <c r="A143" t="s">
        <v>409</v>
      </c>
      <c r="B143" t="s">
        <v>411</v>
      </c>
      <c r="F143" t="s">
        <v>410</v>
      </c>
      <c r="G143">
        <f>BoardQty*1</f>
        <v>0</v>
      </c>
      <c r="H143" s="11">
        <f>MINA(INDIRECT(ADDRESS(ROW(),COLUMN(newark_part_data)+2)),INDIRECT(ADDRESS(ROW(),COLUMN(digikey_part_data)+2)),INDIRECT(ADDRESS(ROW(),COLUMN(mouser_part_data)+2)))</f>
        <v>0</v>
      </c>
      <c r="I143" s="11">
        <f>iferror(G143*H143,"")</f>
        <v>0</v>
      </c>
      <c r="J143">
        <v>4662</v>
      </c>
      <c r="L143" s="11">
        <f>iferror(lookup(if(K143="",G143,K143),{0,1,10,25,50,100,250,500,1000,2000,4000,6000,10000},{0.0,0.25,0.235,0.2172,0.2098,0.1953,0.17388,0.1449,0.13731,0.1173,0.1104,0.1035,0.0966}),"")</f>
        <v>0</v>
      </c>
      <c r="M143" s="11">
        <f>iferror(if(K143="",G143,K143)*L143,"")</f>
        <v>0</v>
      </c>
      <c r="N143" t="s">
        <v>556</v>
      </c>
      <c r="O143" s="12" t="s">
        <v>475</v>
      </c>
      <c r="V143">
        <v>2170</v>
      </c>
      <c r="X143" s="11">
        <f>iferror(lookup(if(W143="",G143,W143),{0,1,10,100,250,500,1000},{0.0,0.25,0.185,0.166,0.158,0.136,0.116}),"")</f>
        <v>0</v>
      </c>
      <c r="Y143" s="11">
        <f>iferror(if(W143="",G143,W143)*X143,"")</f>
        <v>0</v>
      </c>
      <c r="Z143" t="s">
        <v>640</v>
      </c>
      <c r="AA143" s="12" t="s">
        <v>475</v>
      </c>
    </row>
    <row r="144" spans="1:27">
      <c r="A144" t="s">
        <v>412</v>
      </c>
      <c r="B144" t="s">
        <v>413</v>
      </c>
      <c r="D144" t="s">
        <v>12</v>
      </c>
      <c r="F144" t="s">
        <v>147</v>
      </c>
      <c r="G144">
        <f>BoardQty*1</f>
        <v>0</v>
      </c>
      <c r="H144" s="11">
        <f>MINA(INDIRECT(ADDRESS(ROW(),COLUMN(newark_part_data)+2)),INDIRECT(ADDRESS(ROW(),COLUMN(digikey_part_data)+2)),INDIRECT(ADDRESS(ROW(),COLUMN(mouser_part_data)+2)))</f>
        <v>0</v>
      </c>
      <c r="I144" s="11">
        <f>iferror(G144*H144,"")</f>
        <v>0</v>
      </c>
      <c r="J144">
        <v>2464497</v>
      </c>
      <c r="L144" s="11">
        <f>iferror(lookup(if(K144="",G144,K144),{0,1,10,25,100,250,500,1000,2500,5000,10000,25000,50000,125000},{0.0,0.1,0.011,0.008,0.0044,0.00336,0.0027,0.00198,0.00172,0.00129,0.00112,0.00099,0.0009,0.00089}),"")</f>
        <v>0</v>
      </c>
      <c r="M144" s="11">
        <f>iferror(if(K144="",G144,K144)*L144,"")</f>
        <v>0</v>
      </c>
      <c r="N144" t="s">
        <v>507</v>
      </c>
      <c r="O144" s="12" t="s">
        <v>475</v>
      </c>
      <c r="V144">
        <v>7188</v>
      </c>
      <c r="X144" s="11">
        <f>iferror(lookup(if(W144="",G144,W144),{0,1,10,25,100,250,1000},{0.0,0.06,0.01,0.007,0.004,0.003,0.002}),"")</f>
        <v>0</v>
      </c>
      <c r="Y144" s="11">
        <f>iferror(if(W144="",G144,W144)*X144,"")</f>
        <v>0</v>
      </c>
      <c r="Z144" t="s">
        <v>604</v>
      </c>
      <c r="AA144" s="12" t="s">
        <v>475</v>
      </c>
    </row>
    <row r="145" spans="1:27">
      <c r="A145" t="s">
        <v>414</v>
      </c>
      <c r="B145" t="s">
        <v>417</v>
      </c>
      <c r="D145" t="s">
        <v>416</v>
      </c>
      <c r="F145" t="s">
        <v>415</v>
      </c>
      <c r="G145">
        <f>BoardQty*2</f>
        <v>0</v>
      </c>
      <c r="H145" s="11">
        <f>MINA(INDIRECT(ADDRESS(ROW(),COLUMN(newark_part_data)+2)),INDIRECT(ADDRESS(ROW(),COLUMN(digikey_part_data)+2)),INDIRECT(ADDRESS(ROW(),COLUMN(mouser_part_data)+2)))</f>
        <v>0</v>
      </c>
      <c r="I145" s="11">
        <f>iferror(G145*H145,"")</f>
        <v>0</v>
      </c>
      <c r="J145">
        <v>12013</v>
      </c>
      <c r="L145" s="11">
        <f>iferror(lookup(if(K145="",G145,K145),{0,1,10,25,50,100,250,500,1000,3000,6000,15000},{0.0,0.29,0.273,0.252,0.2432,0.2264,0.2016,0.168,0.1592,0.128,0.12,0.112}),"")</f>
        <v>0</v>
      </c>
      <c r="M145" s="11">
        <f>iferror(if(K145="",G145,K145)*L145,"")</f>
        <v>0</v>
      </c>
      <c r="N145" t="s">
        <v>557</v>
      </c>
      <c r="O145" s="12" t="s">
        <v>475</v>
      </c>
      <c r="V145">
        <v>1394</v>
      </c>
      <c r="X145" s="11">
        <f>iferror(lookup(if(W145="",G145,W145),{0,1,10,100,250,500,1000},{0.0,0.386,0.268,0.214,0.196,0.191,0.148}),"")</f>
        <v>0</v>
      </c>
      <c r="Y145" s="11">
        <f>iferror(if(W145="",G145,W145)*X145,"")</f>
        <v>0</v>
      </c>
      <c r="Z145" t="s">
        <v>641</v>
      </c>
      <c r="AA145" s="12" t="s">
        <v>475</v>
      </c>
    </row>
    <row r="146" spans="1:27">
      <c r="A146" t="s">
        <v>418</v>
      </c>
      <c r="B146" t="s">
        <v>419</v>
      </c>
      <c r="D146" t="s">
        <v>75</v>
      </c>
      <c r="G146">
        <f>BoardQty*2</f>
        <v>0</v>
      </c>
      <c r="H146" s="11">
        <f>MINA(INDIRECT(ADDRESS(ROW(),COLUMN(newark_part_data)+2)),INDIRECT(ADDRESS(ROW(),COLUMN(digikey_part_data)+2)),INDIRECT(ADDRESS(ROW(),COLUMN(mouser_part_data)+2)))</f>
        <v>0</v>
      </c>
      <c r="I146" s="11">
        <f>iferror(G146*H146,"")</f>
        <v>0</v>
      </c>
    </row>
    <row r="147" spans="1:27">
      <c r="A147" t="s">
        <v>420</v>
      </c>
      <c r="B147" t="s">
        <v>194</v>
      </c>
      <c r="D147" t="s">
        <v>69</v>
      </c>
      <c r="F147" t="s">
        <v>193</v>
      </c>
      <c r="G147">
        <f>BoardQty*35</f>
        <v>0</v>
      </c>
      <c r="H147" s="11">
        <f>MINA(INDIRECT(ADDRESS(ROW(),COLUMN(newark_part_data)+2)),INDIRECT(ADDRESS(ROW(),COLUMN(digikey_part_data)+2)),INDIRECT(ADDRESS(ROW(),COLUMN(mouser_part_data)+2)))</f>
        <v>0</v>
      </c>
      <c r="I147" s="11">
        <f>iferror(G147*H147,"")</f>
        <v>0</v>
      </c>
      <c r="J147">
        <v>2233634</v>
      </c>
      <c r="L147" s="11">
        <f>iferror(lookup(if(K147="",G147,K147),{0,1,10,50,100,250,500,1000,4000,8000,12000,28000,100000},{0.0,0.1,0.041,0.0222,0.0187,0.01532,0.0131,0.0102,0.00782,0.00714,0.0068,0.00646,0.00468}),"")</f>
        <v>0</v>
      </c>
      <c r="M147" s="11">
        <f>iferror(if(K147="",G147,K147)*L147,"")</f>
        <v>0</v>
      </c>
      <c r="N147" t="s">
        <v>518</v>
      </c>
      <c r="O147" s="12" t="s">
        <v>475</v>
      </c>
      <c r="AA147" s="12" t="s">
        <v>475</v>
      </c>
    </row>
    <row r="148" spans="1:27">
      <c r="A148" t="s">
        <v>421</v>
      </c>
      <c r="B148" t="s">
        <v>194</v>
      </c>
      <c r="D148" t="s">
        <v>69</v>
      </c>
      <c r="F148" t="s">
        <v>422</v>
      </c>
      <c r="G148">
        <f>BoardQty*10</f>
        <v>0</v>
      </c>
      <c r="H148" s="11">
        <f>MINA(INDIRECT(ADDRESS(ROW(),COLUMN(newark_part_data)+2)),INDIRECT(ADDRESS(ROW(),COLUMN(digikey_part_data)+2)),INDIRECT(ADDRESS(ROW(),COLUMN(mouser_part_data)+2)))</f>
        <v>0</v>
      </c>
      <c r="I148" s="11">
        <f>iferror(G148*H148,"")</f>
        <v>0</v>
      </c>
      <c r="J148">
        <v>2233634</v>
      </c>
      <c r="L148" s="11">
        <f>iferror(lookup(if(K148="",G148,K148),{0,1,10,50,100,250,500,1000,4000,8000,12000,28000,100000},{0.0,0.1,0.041,0.0222,0.0187,0.01532,0.0131,0.0102,0.00782,0.00714,0.0068,0.00646,0.00468}),"")</f>
        <v>0</v>
      </c>
      <c r="M148" s="11">
        <f>iferror(if(K148="",G148,K148)*L148,"")</f>
        <v>0</v>
      </c>
      <c r="N148" t="s">
        <v>518</v>
      </c>
      <c r="O148" s="12" t="s">
        <v>475</v>
      </c>
      <c r="AA148" s="12" t="s">
        <v>475</v>
      </c>
    </row>
    <row r="149" spans="1:27">
      <c r="A149" t="s">
        <v>423</v>
      </c>
      <c r="B149" t="s">
        <v>425</v>
      </c>
      <c r="D149" t="s">
        <v>12</v>
      </c>
      <c r="F149" t="s">
        <v>424</v>
      </c>
      <c r="G149">
        <f>BoardQty*8</f>
        <v>0</v>
      </c>
      <c r="H149" s="11">
        <f>MINA(INDIRECT(ADDRESS(ROW(),COLUMN(newark_part_data)+2)),INDIRECT(ADDRESS(ROW(),COLUMN(digikey_part_data)+2)),INDIRECT(ADDRESS(ROW(),COLUMN(mouser_part_data)+2)))</f>
        <v>0</v>
      </c>
      <c r="I149" s="11">
        <f>iferror(G149*H149,"")</f>
        <v>0</v>
      </c>
      <c r="J149">
        <v>566653</v>
      </c>
      <c r="L149" s="11">
        <f>iferror(lookup(if(K149="",G149,K149),{0,1,10,25,100,250,500,1000,2500,5000,10000,25000,50000,125000},{0.0,0.1,0.011,0.008,0.0044,0.00336,0.0027,0.00198,0.00172,0.00129,0.00112,0.00099,0.0009,0.00089}),"")</f>
        <v>0</v>
      </c>
      <c r="M149" s="11">
        <f>iferror(if(K149="",G149,K149)*L149,"")</f>
        <v>0</v>
      </c>
      <c r="N149" t="s">
        <v>558</v>
      </c>
      <c r="O149" s="12" t="s">
        <v>475</v>
      </c>
      <c r="V149">
        <v>1905</v>
      </c>
      <c r="X149" s="11">
        <f>iferror(lookup(if(W149="",G149,W149),{0,1,10,25,100,250,1000},{0.0,0.06,0.01,0.007,0.004,0.003,0.002}),"")</f>
        <v>0</v>
      </c>
      <c r="Y149" s="11">
        <f>iferror(if(W149="",G149,W149)*X149,"")</f>
        <v>0</v>
      </c>
      <c r="Z149" t="s">
        <v>642</v>
      </c>
      <c r="AA149" s="12" t="s">
        <v>475</v>
      </c>
    </row>
    <row r="150" spans="1:27">
      <c r="A150" t="s">
        <v>426</v>
      </c>
      <c r="B150" t="s">
        <v>429</v>
      </c>
      <c r="D150" t="s">
        <v>428</v>
      </c>
      <c r="F150" t="s">
        <v>427</v>
      </c>
      <c r="G150">
        <f>BoardQty*4</f>
        <v>0</v>
      </c>
      <c r="H150" s="11">
        <f>MINA(INDIRECT(ADDRESS(ROW(),COLUMN(newark_part_data)+2)),INDIRECT(ADDRESS(ROW(),COLUMN(digikey_part_data)+2)),INDIRECT(ADDRESS(ROW(),COLUMN(mouser_part_data)+2)))</f>
        <v>0</v>
      </c>
      <c r="I150" s="11">
        <f>iferror(G150*H150,"")</f>
        <v>0</v>
      </c>
      <c r="J150">
        <v>5048</v>
      </c>
      <c r="L150" s="11">
        <f>iferror(lookup(if(K150="",G150,K150),{0,1,10,25,50,100,250,500,1000,2500},{0.0,2.02,1.89,1.68,1.596,1.512,1.344,1.26,1.176,1.155}),"")</f>
        <v>0</v>
      </c>
      <c r="M150" s="11">
        <f>iferror(if(K150="",G150,K150)*L150,"")</f>
        <v>0</v>
      </c>
      <c r="N150" t="s">
        <v>559</v>
      </c>
      <c r="O150" s="12" t="s">
        <v>475</v>
      </c>
      <c r="AA150" s="12" t="s">
        <v>475</v>
      </c>
    </row>
    <row r="151" spans="1:27">
      <c r="A151" t="s">
        <v>430</v>
      </c>
      <c r="B151" t="s">
        <v>116</v>
      </c>
      <c r="D151" t="s">
        <v>12</v>
      </c>
      <c r="F151" t="s">
        <v>115</v>
      </c>
      <c r="G151">
        <f>BoardQty*9</f>
        <v>0</v>
      </c>
      <c r="H151" s="11">
        <f>MINA(INDIRECT(ADDRESS(ROW(),COLUMN(newark_part_data)+2)),INDIRECT(ADDRESS(ROW(),COLUMN(digikey_part_data)+2)),INDIRECT(ADDRESS(ROW(),COLUMN(mouser_part_data)+2)))</f>
        <v>0</v>
      </c>
      <c r="I151" s="11">
        <f>iferror(G151*H151,"")</f>
        <v>0</v>
      </c>
      <c r="J151">
        <v>6742804</v>
      </c>
      <c r="L151" s="11">
        <f>iferror(lookup(if(K151="",G151,K151),{0,1,10,25,100,250,500,1000,2500,5000,10000,25000,50000,125000},{0.0,0.1,0.011,0.008,0.0045,0.00348,0.00278,0.00204,0.00177,0.00133,0.00116,0.00102,0.00093,0.00091}),"")</f>
        <v>0</v>
      </c>
      <c r="M151" s="11">
        <f>iferror(if(K151="",G151,K151)*L151,"")</f>
        <v>0</v>
      </c>
      <c r="N151" t="s">
        <v>499</v>
      </c>
      <c r="O151" s="12" t="s">
        <v>475</v>
      </c>
      <c r="V151">
        <v>4139</v>
      </c>
      <c r="X151" s="11">
        <f>iferror(lookup(if(W151="",G151,W151),{0,1,10,25,100,250,1000},{0.0,0.06,0.01,0.007,0.004,0.003,0.002}),"")</f>
        <v>0</v>
      </c>
      <c r="Y151" s="11">
        <f>iferror(if(W151="",G151,W151)*X151,"")</f>
        <v>0</v>
      </c>
      <c r="Z151" t="s">
        <v>598</v>
      </c>
      <c r="AA151" s="12" t="s">
        <v>475</v>
      </c>
    </row>
    <row r="152" spans="1:27">
      <c r="A152" t="s">
        <v>431</v>
      </c>
      <c r="B152" t="s">
        <v>116</v>
      </c>
      <c r="D152" t="s">
        <v>12</v>
      </c>
      <c r="F152" t="s">
        <v>432</v>
      </c>
      <c r="G152">
        <f>BoardQty*1</f>
        <v>0</v>
      </c>
      <c r="H152" s="11">
        <f>MINA(INDIRECT(ADDRESS(ROW(),COLUMN(newark_part_data)+2)),INDIRECT(ADDRESS(ROW(),COLUMN(digikey_part_data)+2)),INDIRECT(ADDRESS(ROW(),COLUMN(mouser_part_data)+2)))</f>
        <v>0</v>
      </c>
      <c r="I152" s="11">
        <f>iferror(G152*H152,"")</f>
        <v>0</v>
      </c>
      <c r="J152">
        <v>6742804</v>
      </c>
      <c r="L152" s="11">
        <f>iferror(lookup(if(K152="",G152,K152),{0,1,10,25,100,250,500,1000,2500,5000,10000,25000,50000,125000},{0.0,0.1,0.011,0.008,0.0045,0.00348,0.00278,0.00204,0.00177,0.00133,0.00116,0.00102,0.00093,0.00091}),"")</f>
        <v>0</v>
      </c>
      <c r="M152" s="11">
        <f>iferror(if(K152="",G152,K152)*L152,"")</f>
        <v>0</v>
      </c>
      <c r="N152" t="s">
        <v>499</v>
      </c>
      <c r="O152" s="12" t="s">
        <v>475</v>
      </c>
      <c r="V152">
        <v>4139</v>
      </c>
      <c r="X152" s="11">
        <f>iferror(lookup(if(W152="",G152,W152),{0,1,10,25,100,250,1000},{0.0,0.06,0.01,0.007,0.004,0.003,0.002}),"")</f>
        <v>0</v>
      </c>
      <c r="Y152" s="11">
        <f>iferror(if(W152="",G152,W152)*X152,"")</f>
        <v>0</v>
      </c>
      <c r="Z152" t="s">
        <v>598</v>
      </c>
      <c r="AA152" s="12" t="s">
        <v>475</v>
      </c>
    </row>
    <row r="153" spans="1:27">
      <c r="A153" t="s">
        <v>433</v>
      </c>
      <c r="B153" t="s">
        <v>435</v>
      </c>
      <c r="D153" t="s">
        <v>12</v>
      </c>
      <c r="F153" t="s">
        <v>434</v>
      </c>
      <c r="G153">
        <f>BoardQty*1</f>
        <v>0</v>
      </c>
      <c r="H153" s="11">
        <f>MINA(INDIRECT(ADDRESS(ROW(),COLUMN(newark_part_data)+2)),INDIRECT(ADDRESS(ROW(),COLUMN(digikey_part_data)+2)),INDIRECT(ADDRESS(ROW(),COLUMN(mouser_part_data)+2)))</f>
        <v>0</v>
      </c>
      <c r="I153" s="11">
        <f>iferror(G153*H153,"")</f>
        <v>0</v>
      </c>
      <c r="J153">
        <v>116088</v>
      </c>
      <c r="L153" s="11">
        <f>iferror(lookup(if(K153="",G153,K153),{0,1,10,25,100,250,500,1000,2500,5000,10000,25000,50000,125000},{0.0,0.1,0.014,0.01,0.0057,0.00436,0.00348,0.00257,0.00223,0.00167,0.00145,0.00128,0.00117,0.00115}),"")</f>
        <v>0</v>
      </c>
      <c r="M153" s="11">
        <f>iferror(if(K153="",G153,K153)*L153,"")</f>
        <v>0</v>
      </c>
      <c r="N153" t="s">
        <v>560</v>
      </c>
      <c r="O153" s="12" t="s">
        <v>475</v>
      </c>
    </row>
    <row r="154" spans="1:27">
      <c r="A154" t="s">
        <v>436</v>
      </c>
      <c r="B154" t="s">
        <v>437</v>
      </c>
      <c r="F154" t="s">
        <v>437</v>
      </c>
      <c r="G154">
        <f>BoardQty*4</f>
        <v>0</v>
      </c>
      <c r="H154" s="11">
        <f>MINA(INDIRECT(ADDRESS(ROW(),COLUMN(newark_part_data)+2)),INDIRECT(ADDRESS(ROW(),COLUMN(digikey_part_data)+2)),INDIRECT(ADDRESS(ROW(),COLUMN(mouser_part_data)+2)))</f>
        <v>0</v>
      </c>
      <c r="I154" s="11">
        <f>iferror(G154*H154,"")</f>
        <v>0</v>
      </c>
      <c r="J154">
        <v>796899</v>
      </c>
      <c r="L154" s="11">
        <f>iferror(lookup(if(K154="",G154,K154),{0,1,10,100,500,1000,2500,5000,12500,25000,62500,125000},{0.0,0.1,0.077,0.042,0.02582,0.01761,0.01454,0.01311,0.0114,0.01026,0.00912,0.00758}),"")</f>
        <v>0</v>
      </c>
      <c r="M154" s="11">
        <f>iferror(if(K154="",G154,K154)*L154,"")</f>
        <v>0</v>
      </c>
      <c r="N154" t="s">
        <v>561</v>
      </c>
      <c r="O154" s="12" t="s">
        <v>475</v>
      </c>
      <c r="V154">
        <v>4500</v>
      </c>
      <c r="X154" s="11">
        <f>iferror(lookup(if(W154="",G154,W154),{0,1,10,100,1000},{0.0,0.1,0.073,0.026,0.017}),"")</f>
        <v>0</v>
      </c>
      <c r="Y154" s="11">
        <f>iferror(if(W154="",G154,W154)*X154,"")</f>
        <v>0</v>
      </c>
      <c r="Z154" t="s">
        <v>643</v>
      </c>
      <c r="AA154" s="12" t="s">
        <v>475</v>
      </c>
    </row>
    <row r="155" spans="1:27">
      <c r="A155" t="s">
        <v>438</v>
      </c>
      <c r="B155" t="s">
        <v>440</v>
      </c>
      <c r="F155" t="s">
        <v>439</v>
      </c>
      <c r="G155">
        <f>BoardQty*1</f>
        <v>0</v>
      </c>
      <c r="H155" s="11">
        <f>MINA(INDIRECT(ADDRESS(ROW(),COLUMN(newark_part_data)+2)),INDIRECT(ADDRESS(ROW(),COLUMN(digikey_part_data)+2)),INDIRECT(ADDRESS(ROW(),COLUMN(mouser_part_data)+2)))</f>
        <v>0</v>
      </c>
      <c r="I155" s="11">
        <f>iferror(G155*H155,"")</f>
        <v>0</v>
      </c>
      <c r="O155" s="12" t="s">
        <v>475</v>
      </c>
      <c r="V155">
        <v>735</v>
      </c>
      <c r="X155" s="11">
        <f>iferror(lookup(if(W155="",G155,W155),{0,1,10,100,250,500,1000},{0.0,0.381,0.281,0.252,0.24,0.207,0.176}),"")</f>
        <v>0</v>
      </c>
      <c r="Y155" s="11">
        <f>iferror(if(W155="",G155,W155)*X155,"")</f>
        <v>0</v>
      </c>
      <c r="Z155" t="s">
        <v>644</v>
      </c>
      <c r="AA155" s="12" t="s">
        <v>475</v>
      </c>
    </row>
    <row r="156" spans="1:27">
      <c r="A156" t="s">
        <v>441</v>
      </c>
      <c r="B156" t="s">
        <v>443</v>
      </c>
      <c r="D156" t="s">
        <v>57</v>
      </c>
      <c r="F156" t="s">
        <v>442</v>
      </c>
      <c r="G156">
        <f>BoardQty*5</f>
        <v>0</v>
      </c>
      <c r="H156" s="11">
        <f>MINA(INDIRECT(ADDRESS(ROW(),COLUMN(newark_part_data)+2)),INDIRECT(ADDRESS(ROW(),COLUMN(digikey_part_data)+2)),INDIRECT(ADDRESS(ROW(),COLUMN(mouser_part_data)+2)))</f>
        <v>0</v>
      </c>
      <c r="I156" s="11">
        <f>iferror(G156*H156,"")</f>
        <v>0</v>
      </c>
      <c r="J156">
        <v>2894</v>
      </c>
      <c r="L156" s="11">
        <f>iferror(lookup(if(K156="",G156,K156),{0,1,10,50,100,250,500,1000,4000,8000,12000,28000,100000},{0.0,0.1,0.087,0.0712,0.0523,0.038,0.03484,0.0301,0.02304,0.02088,0.02016,0.01872,0.0185}),"")</f>
        <v>0</v>
      </c>
      <c r="M156" s="11">
        <f>iferror(if(K156="",G156,K156)*L156,"")</f>
        <v>0</v>
      </c>
      <c r="N156" t="s">
        <v>562</v>
      </c>
      <c r="O156" s="12" t="s">
        <v>475</v>
      </c>
    </row>
    <row r="157" spans="1:27">
      <c r="A157" t="s">
        <v>444</v>
      </c>
      <c r="B157" t="s">
        <v>107</v>
      </c>
      <c r="D157" t="s">
        <v>445</v>
      </c>
      <c r="G157">
        <f>BoardQty*3</f>
        <v>0</v>
      </c>
      <c r="H157" s="11">
        <f>MINA(INDIRECT(ADDRESS(ROW(),COLUMN(newark_part_data)+2)),INDIRECT(ADDRESS(ROW(),COLUMN(digikey_part_data)+2)),INDIRECT(ADDRESS(ROW(),COLUMN(mouser_part_data)+2)))</f>
        <v>0</v>
      </c>
      <c r="I157" s="11">
        <f>iferror(G157*H157,"")</f>
        <v>0</v>
      </c>
    </row>
    <row r="158" spans="1:27">
      <c r="A158" t="s">
        <v>446</v>
      </c>
      <c r="B158" t="s">
        <v>447</v>
      </c>
      <c r="D158" t="s">
        <v>69</v>
      </c>
      <c r="F158" t="s">
        <v>138</v>
      </c>
      <c r="G158">
        <f>BoardQty*9</f>
        <v>0</v>
      </c>
      <c r="H158" s="11">
        <f>MINA(INDIRECT(ADDRESS(ROW(),COLUMN(newark_part_data)+2)),INDIRECT(ADDRESS(ROW(),COLUMN(digikey_part_data)+2)),INDIRECT(ADDRESS(ROW(),COLUMN(mouser_part_data)+2)))</f>
        <v>0</v>
      </c>
      <c r="I158" s="11">
        <f>iferror(G158*H158,"")</f>
        <v>0</v>
      </c>
      <c r="J158">
        <v>2236244</v>
      </c>
      <c r="L158" s="11">
        <f>iferror(lookup(if(K158="",G158,K158),{0,1,10,50,100,250,500,1000,4000,8000,12000,28000,100000},{0.0,0.1,0.019,0.0104,0.0088,0.0072,0.00616,0.0048,0.00368,0.00336,0.0032,0.00304,0.0022}),"")</f>
        <v>0</v>
      </c>
      <c r="M158" s="11">
        <f>iferror(if(K158="",G158,K158)*L158,"")</f>
        <v>0</v>
      </c>
      <c r="N158" t="s">
        <v>505</v>
      </c>
      <c r="O158" s="12" t="s">
        <v>475</v>
      </c>
      <c r="V158">
        <v>2042</v>
      </c>
      <c r="X158" s="11">
        <f>iferror(lookup(if(W158="",G158,W158),{0,1,10,25,50,100,250,1000},{0.0,0.1,0.024,0.015,0.012,0.01,0.009,0.006}),"")</f>
        <v>0</v>
      </c>
      <c r="Y158" s="11">
        <f>iferror(if(W158="",G158,W158)*X158,"")</f>
        <v>0</v>
      </c>
      <c r="Z158" t="s">
        <v>602</v>
      </c>
      <c r="AA158" s="12" t="s">
        <v>475</v>
      </c>
    </row>
    <row r="159" spans="1:27">
      <c r="A159" t="s">
        <v>448</v>
      </c>
      <c r="B159" t="s">
        <v>451</v>
      </c>
      <c r="D159" t="s">
        <v>450</v>
      </c>
      <c r="F159" t="s">
        <v>449</v>
      </c>
      <c r="G159">
        <f>BoardQty*1</f>
        <v>0</v>
      </c>
      <c r="H159" s="11">
        <f>MINA(INDIRECT(ADDRESS(ROW(),COLUMN(newark_part_data)+2)),INDIRECT(ADDRESS(ROW(),COLUMN(digikey_part_data)+2)),INDIRECT(ADDRESS(ROW(),COLUMN(mouser_part_data)+2)))</f>
        <v>0</v>
      </c>
      <c r="I159" s="11">
        <f>iferror(G159*H159,"")</f>
        <v>0</v>
      </c>
      <c r="O159" s="12" t="s">
        <v>475</v>
      </c>
      <c r="AA159" s="12" t="s">
        <v>475</v>
      </c>
    </row>
    <row r="160" spans="1:27">
      <c r="A160" t="s">
        <v>452</v>
      </c>
      <c r="B160" t="s">
        <v>453</v>
      </c>
      <c r="D160" t="s">
        <v>35</v>
      </c>
      <c r="F160" t="s">
        <v>453</v>
      </c>
      <c r="G160">
        <f>BoardQty*1</f>
        <v>0</v>
      </c>
      <c r="H160" s="11">
        <f>MINA(INDIRECT(ADDRESS(ROW(),COLUMN(newark_part_data)+2)),INDIRECT(ADDRESS(ROW(),COLUMN(digikey_part_data)+2)),INDIRECT(ADDRESS(ROW(),COLUMN(mouser_part_data)+2)))</f>
        <v>0</v>
      </c>
      <c r="I160" s="11">
        <f>iferror(G160*H160,"")</f>
        <v>0</v>
      </c>
      <c r="J160">
        <v>57501</v>
      </c>
      <c r="L160" s="11">
        <f>iferror(lookup(if(K160="",G160,K160),{0,1,10,50,100,500,1000,3000,5000,10000},{0.0,1.2,1.065,0.9944,0.88,0.8316,0.66,0.638,0.616,0.594}),"")</f>
        <v>0</v>
      </c>
      <c r="M160" s="11">
        <f>iferror(if(K160="",G160,K160)*L160,"")</f>
        <v>0</v>
      </c>
      <c r="N160" t="s">
        <v>563</v>
      </c>
      <c r="O160" s="12" t="s">
        <v>475</v>
      </c>
      <c r="AA160" s="12" t="s">
        <v>475</v>
      </c>
    </row>
    <row r="161" spans="1:27">
      <c r="A161" t="s">
        <v>454</v>
      </c>
      <c r="B161" t="s">
        <v>457</v>
      </c>
      <c r="D161" t="s">
        <v>456</v>
      </c>
      <c r="F161" t="s">
        <v>455</v>
      </c>
      <c r="G161">
        <f>BoardQty*10</f>
        <v>0</v>
      </c>
      <c r="H161" s="11">
        <f>MINA(INDIRECT(ADDRESS(ROW(),COLUMN(newark_part_data)+2)),INDIRECT(ADDRESS(ROW(),COLUMN(digikey_part_data)+2)),INDIRECT(ADDRESS(ROW(),COLUMN(mouser_part_data)+2)))</f>
        <v>0</v>
      </c>
      <c r="I161" s="11">
        <f>iferror(G161*H161,"")</f>
        <v>0</v>
      </c>
      <c r="J161">
        <v>7173</v>
      </c>
      <c r="L161" s="11">
        <f>iferror(lookup(if(K161="",G161,K161),{0,1,10,50,100,250,500,1000,2500,5000},{0.0,0.54,0.51,0.408,0.391,0.357,0.34,0.2805,0.255,0.2465}),"")</f>
        <v>0</v>
      </c>
      <c r="M161" s="11">
        <f>iferror(if(K161="",G161,K161)*L161,"")</f>
        <v>0</v>
      </c>
      <c r="N161" t="s">
        <v>564</v>
      </c>
      <c r="O161" s="12" t="s">
        <v>475</v>
      </c>
      <c r="V161">
        <v>9</v>
      </c>
      <c r="X161" s="11">
        <f>iferror(lookup(if(W161="",G161,W161),{0,1,100,250,500,1000},{0.0,1.87,1.68,1.52,1.38,1.27}),"")</f>
        <v>0</v>
      </c>
      <c r="Y161" s="11">
        <f>iferror(if(W161="",G161,W161)*X161,"")</f>
        <v>0</v>
      </c>
      <c r="Z161" t="s">
        <v>645</v>
      </c>
      <c r="AA161" s="12" t="s">
        <v>475</v>
      </c>
    </row>
    <row r="162" spans="1:27">
      <c r="A162" t="s">
        <v>458</v>
      </c>
      <c r="B162" t="s">
        <v>460</v>
      </c>
      <c r="D162" t="s">
        <v>12</v>
      </c>
      <c r="F162" t="s">
        <v>459</v>
      </c>
      <c r="G162">
        <f>BoardQty*1</f>
        <v>0</v>
      </c>
      <c r="H162" s="11">
        <f>MINA(INDIRECT(ADDRESS(ROW(),COLUMN(newark_part_data)+2)),INDIRECT(ADDRESS(ROW(),COLUMN(digikey_part_data)+2)),INDIRECT(ADDRESS(ROW(),COLUMN(mouser_part_data)+2)))</f>
        <v>0</v>
      </c>
      <c r="I162" s="11">
        <f>iferror(G162*H162,"")</f>
        <v>0</v>
      </c>
      <c r="J162">
        <v>291756</v>
      </c>
      <c r="L162" s="11">
        <f>iferror(lookup(if(K162="",G162,K162),{0,1,10,25,100,250,500,1000,2500,5000,10000,25000,50000,125000},{0.0,0.1,0.014,0.01,0.0057,0.00436,0.00348,0.00257,0.00223,0.00167,0.00145,0.00128,0.00117,0.00115}),"")</f>
        <v>0</v>
      </c>
      <c r="M162" s="11">
        <f>iferror(if(K162="",G162,K162)*L162,"")</f>
        <v>0</v>
      </c>
      <c r="N162" t="s">
        <v>565</v>
      </c>
      <c r="O162" s="12" t="s">
        <v>475</v>
      </c>
    </row>
    <row r="163" spans="1:27">
      <c r="A163" t="s">
        <v>461</v>
      </c>
      <c r="B163" t="s">
        <v>130</v>
      </c>
      <c r="D163" t="s">
        <v>180</v>
      </c>
      <c r="F163" t="s">
        <v>128</v>
      </c>
      <c r="G163">
        <f>BoardQty*4</f>
        <v>0</v>
      </c>
      <c r="H163" s="11">
        <f>MINA(INDIRECT(ADDRESS(ROW(),COLUMN(newark_part_data)+2)),INDIRECT(ADDRESS(ROW(),COLUMN(digikey_part_data)+2)),INDIRECT(ADDRESS(ROW(),COLUMN(mouser_part_data)+2)))</f>
        <v>0</v>
      </c>
      <c r="I163" s="11">
        <f>iferror(G163*H163,"")</f>
        <v>0</v>
      </c>
      <c r="J163">
        <v>10550</v>
      </c>
      <c r="L163" s="11">
        <f>iferror(lookup(if(K163="",G163,K163),{0,1,10,25,100,250,500,1000,2000,6000,10000,50000,100000},{0.0,0.41,0.297,0.2276,0.1485,0.10892,0.0924,0.0759,0.06,0.054,0.048,0.0405,0.039}),"")</f>
        <v>0</v>
      </c>
      <c r="M163" s="11">
        <f>iferror(if(K163="",G163,K163)*L163,"")</f>
        <v>0</v>
      </c>
      <c r="N163" t="s">
        <v>502</v>
      </c>
      <c r="O163" s="12" t="s">
        <v>475</v>
      </c>
    </row>
    <row r="164" spans="1:27">
      <c r="A164" t="s">
        <v>462</v>
      </c>
      <c r="B164" t="s">
        <v>130</v>
      </c>
      <c r="D164" t="s">
        <v>180</v>
      </c>
      <c r="F164" t="s">
        <v>288</v>
      </c>
      <c r="G164">
        <f>BoardQty*12</f>
        <v>0</v>
      </c>
      <c r="H164" s="11">
        <f>MINA(INDIRECT(ADDRESS(ROW(),COLUMN(newark_part_data)+2)),INDIRECT(ADDRESS(ROW(),COLUMN(digikey_part_data)+2)),INDIRECT(ADDRESS(ROW(),COLUMN(mouser_part_data)+2)))</f>
        <v>0</v>
      </c>
      <c r="I164" s="11">
        <f>iferror(G164*H164,"")</f>
        <v>0</v>
      </c>
      <c r="J164">
        <v>10550</v>
      </c>
      <c r="L164" s="11">
        <f>iferror(lookup(if(K164="",G164,K164),{0,1,10,25,100,250,500,1000,2000,6000,10000,50000,100000},{0.0,0.41,0.297,0.2276,0.1485,0.10892,0.0924,0.0759,0.06,0.054,0.048,0.0405,0.039}),"")</f>
        <v>0</v>
      </c>
      <c r="M164" s="11">
        <f>iferror(if(K164="",G164,K164)*L164,"")</f>
        <v>0</v>
      </c>
      <c r="N164" t="s">
        <v>502</v>
      </c>
      <c r="O164" s="12" t="s">
        <v>475</v>
      </c>
    </row>
    <row r="165" spans="1:27">
      <c r="A165" t="s">
        <v>463</v>
      </c>
      <c r="B165" t="s">
        <v>466</v>
      </c>
      <c r="D165" t="s">
        <v>465</v>
      </c>
      <c r="F165" t="s">
        <v>464</v>
      </c>
      <c r="G165">
        <f>BoardQty*4</f>
        <v>0</v>
      </c>
      <c r="H165" s="11">
        <f>MINA(INDIRECT(ADDRESS(ROW(),COLUMN(newark_part_data)+2)),INDIRECT(ADDRESS(ROW(),COLUMN(digikey_part_data)+2)),INDIRECT(ADDRESS(ROW(),COLUMN(mouser_part_data)+2)))</f>
        <v>0</v>
      </c>
      <c r="I165" s="11">
        <f>iferror(G165*H165,"")</f>
        <v>0</v>
      </c>
      <c r="J165">
        <v>3390</v>
      </c>
      <c r="L165" s="11">
        <f>iferror(lookup(if(K165="",G165,K165),{0,1,10,100,500,1000,2500,5000,12500,25000,62500,125000},{0.0,0.48,0.388,0.2647,0.1981,0.14837,0.13233,0.12431,0.11629,0.10667,0.10266,0.09865}),"")</f>
        <v>0</v>
      </c>
      <c r="M165" s="11">
        <f>iferror(if(K165="",G165,K165)*L165,"")</f>
        <v>0</v>
      </c>
      <c r="N165" t="s">
        <v>566</v>
      </c>
      <c r="O165" s="12" t="s">
        <v>475</v>
      </c>
      <c r="AA165" s="12" t="s">
        <v>475</v>
      </c>
    </row>
    <row r="167" spans="1:27">
      <c r="K167">
        <f t="array" ref="K167">IFERROR(CONCATENATE(TEXT(INDEX($K$7:$K$165,SMALL(IF($N$7:$N$165&lt;&gt;"",IF($K$7:$K$165&lt;&gt;"",ROW($K$7:$K$165)-MIN(ROW($K$7:$K$165))+1,""),""),ROW()-ROW(A$167)+1)),"##0"),","),"")</f>
        <v>0</v>
      </c>
      <c r="L167">
        <f t="array" ref="L167">IFERROR(CONCATENATE((INDEX($N$7:$N$165,SMALL(IF($N$7:$N$165&lt;&gt;"",IF($K$7:$K$165&lt;&gt;"",ROW($K$7:$K$165)-MIN(ROW($K$7:$K$165))+1,""),""),ROW()-ROW(A$167)+1))),","),"")</f>
        <v>0</v>
      </c>
      <c r="M167">
        <f t="array" ref="M167">IFERROR(CONCATENATE((INDEX($A$7:$A$165,SMALL(IF($N$7:$N$165&lt;&gt;"",IF($K$7:$K$165&lt;&gt;"",ROW($K$7:$K$165)-MIN(ROW($K$7:$K$165))+1,""),""),ROW()-ROW(A$167)+1))),),"")</f>
        <v>0</v>
      </c>
      <c r="Q167">
        <f t="array" ref="Q167">IFERROR(CONCATENATE((INDEX($T$7:$T$165,SMALL(IF($T$7:$T$165&lt;&gt;"",IF($Q$7:$Q$165&lt;&gt;"",ROW($Q$7:$Q$165)-MIN(ROW($Q$7:$Q$165))+1,""),""),ROW()-ROW(A$167)+1)))," "),"")</f>
        <v>0</v>
      </c>
      <c r="R167">
        <f t="array" ref="R167">IFERROR(CONCATENATE(TEXT(INDEX($Q$7:$Q$165,SMALL(IF($T$7:$T$165&lt;&gt;"",IF($Q$7:$Q$165&lt;&gt;"",ROW($Q$7:$Q$165)-MIN(ROW($Q$7:$Q$165))+1,""),""),ROW()-ROW(A$167)+1)),"##0")," "),"")</f>
        <v>0</v>
      </c>
      <c r="S167">
        <f t="array" ref="S167">IFERROR(CONCATENATE((INDEX($A$7:$A$165,SMALL(IF($T$7:$T$165&lt;&gt;"",IF($Q$7:$Q$165&lt;&gt;"",ROW($Q$7:$Q$165)-MIN(ROW($Q$7:$Q$165))+1,""),""),ROW()-ROW(A$167)+1))),),"")</f>
        <v>0</v>
      </c>
      <c r="W167">
        <f t="array" ref="W167">IFERROR(CONCATENATE((INDEX($Z$7:$Z$165,SMALL(IF($Z$7:$Z$165&lt;&gt;"",IF($W$7:$W$165&lt;&gt;"",ROW($W$7:$W$165)-MIN(ROW($W$7:$W$165))+1,""),""),ROW()-ROW(A$167)+1))),","),"")</f>
        <v>0</v>
      </c>
      <c r="X167">
        <f t="array" ref="X167">IFERROR(CONCATENATE(TEXT(INDEX($W$7:$W$165,SMALL(IF($Z$7:$Z$165&lt;&gt;"",IF($W$7:$W$165&lt;&gt;"",ROW($W$7:$W$165)-MIN(ROW($W$7:$W$165))+1,""),""),ROW()-ROW(A$167)+1)),"##0"),","),"")</f>
        <v>0</v>
      </c>
      <c r="Y167">
        <f t="array" ref="Y167">IFERROR(CONCATENATE((INDEX($A$7:$A$165,SMALL(IF($Z$7:$Z$165&lt;&gt;"",IF($W$7:$W$165&lt;&gt;"",ROW($W$7:$W$165)-MIN(ROW($W$7:$W$165))+1,""),""),ROW()-ROW(A$167)+1))),),"")</f>
        <v>0</v>
      </c>
    </row>
    <row r="168" spans="1:27">
      <c r="K168">
        <f t="array" ref="K168">IFERROR(CONCATENATE(TEXT(INDEX($K$7:$K$165,SMALL(IF($N$7:$N$165&lt;&gt;"",IF($K$7:$K$165&lt;&gt;"",ROW($K$7:$K$165)-MIN(ROW($K$7:$K$165))+1,""),""),ROW()-ROW(A$167)+1)),"##0"),","),"")</f>
        <v>0</v>
      </c>
      <c r="L168">
        <f t="array" ref="L168">IFERROR(CONCATENATE((INDEX($N$7:$N$165,SMALL(IF($N$7:$N$165&lt;&gt;"",IF($K$7:$K$165&lt;&gt;"",ROW($K$7:$K$165)-MIN(ROW($K$7:$K$165))+1,""),""),ROW()-ROW(A$167)+1))),","),"")</f>
        <v>0</v>
      </c>
      <c r="M168">
        <f t="array" ref="M168">IFERROR(CONCATENATE((INDEX($A$7:$A$165,SMALL(IF($N$7:$N$165&lt;&gt;"",IF($K$7:$K$165&lt;&gt;"",ROW($K$7:$K$165)-MIN(ROW($K$7:$K$165))+1,""),""),ROW()-ROW(A$167)+1))),),"")</f>
        <v>0</v>
      </c>
      <c r="Q168">
        <f t="array" ref="Q168">IFERROR(CONCATENATE((INDEX($T$7:$T$165,SMALL(IF($T$7:$T$165&lt;&gt;"",IF($Q$7:$Q$165&lt;&gt;"",ROW($Q$7:$Q$165)-MIN(ROW($Q$7:$Q$165))+1,""),""),ROW()-ROW(A$167)+1)))," "),"")</f>
        <v>0</v>
      </c>
      <c r="R168">
        <f t="array" ref="R168">IFERROR(CONCATENATE(TEXT(INDEX($Q$7:$Q$165,SMALL(IF($T$7:$T$165&lt;&gt;"",IF($Q$7:$Q$165&lt;&gt;"",ROW($Q$7:$Q$165)-MIN(ROW($Q$7:$Q$165))+1,""),""),ROW()-ROW(A$167)+1)),"##0")," "),"")</f>
        <v>0</v>
      </c>
      <c r="S168">
        <f t="array" ref="S168">IFERROR(CONCATENATE((INDEX($A$7:$A$165,SMALL(IF($T$7:$T$165&lt;&gt;"",IF($Q$7:$Q$165&lt;&gt;"",ROW($Q$7:$Q$165)-MIN(ROW($Q$7:$Q$165))+1,""),""),ROW()-ROW(A$167)+1))),),"")</f>
        <v>0</v>
      </c>
      <c r="W168">
        <f t="array" ref="W168">IFERROR(CONCATENATE((INDEX($Z$7:$Z$165,SMALL(IF($Z$7:$Z$165&lt;&gt;"",IF($W$7:$W$165&lt;&gt;"",ROW($W$7:$W$165)-MIN(ROW($W$7:$W$165))+1,""),""),ROW()-ROW(A$167)+1))),","),"")</f>
        <v>0</v>
      </c>
      <c r="X168">
        <f t="array" ref="X168">IFERROR(CONCATENATE(TEXT(INDEX($W$7:$W$165,SMALL(IF($Z$7:$Z$165&lt;&gt;"",IF($W$7:$W$165&lt;&gt;"",ROW($W$7:$W$165)-MIN(ROW($W$7:$W$165))+1,""),""),ROW()-ROW(A$167)+1)),"##0"),","),"")</f>
        <v>0</v>
      </c>
      <c r="Y168">
        <f t="array" ref="Y168">IFERROR(CONCATENATE((INDEX($A$7:$A$165,SMALL(IF($Z$7:$Z$165&lt;&gt;"",IF($W$7:$W$165&lt;&gt;"",ROW($W$7:$W$165)-MIN(ROW($W$7:$W$165))+1,""),""),ROW()-ROW(A$167)+1))),),"")</f>
        <v>0</v>
      </c>
    </row>
    <row r="169" spans="1:27">
      <c r="K169">
        <f t="array" ref="K169">IFERROR(CONCATENATE(TEXT(INDEX($K$7:$K$165,SMALL(IF($N$7:$N$165&lt;&gt;"",IF($K$7:$K$165&lt;&gt;"",ROW($K$7:$K$165)-MIN(ROW($K$7:$K$165))+1,""),""),ROW()-ROW(A$167)+1)),"##0"),","),"")</f>
        <v>0</v>
      </c>
      <c r="L169">
        <f t="array" ref="L169">IFERROR(CONCATENATE((INDEX($N$7:$N$165,SMALL(IF($N$7:$N$165&lt;&gt;"",IF($K$7:$K$165&lt;&gt;"",ROW($K$7:$K$165)-MIN(ROW($K$7:$K$165))+1,""),""),ROW()-ROW(A$167)+1))),","),"")</f>
        <v>0</v>
      </c>
      <c r="M169">
        <f t="array" ref="M169">IFERROR(CONCATENATE((INDEX($A$7:$A$165,SMALL(IF($N$7:$N$165&lt;&gt;"",IF($K$7:$K$165&lt;&gt;"",ROW($K$7:$K$165)-MIN(ROW($K$7:$K$165))+1,""),""),ROW()-ROW(A$167)+1))),),"")</f>
        <v>0</v>
      </c>
      <c r="Q169">
        <f t="array" ref="Q169">IFERROR(CONCATENATE((INDEX($T$7:$T$165,SMALL(IF($T$7:$T$165&lt;&gt;"",IF($Q$7:$Q$165&lt;&gt;"",ROW($Q$7:$Q$165)-MIN(ROW($Q$7:$Q$165))+1,""),""),ROW()-ROW(A$167)+1)))," "),"")</f>
        <v>0</v>
      </c>
      <c r="R169">
        <f t="array" ref="R169">IFERROR(CONCATENATE(TEXT(INDEX($Q$7:$Q$165,SMALL(IF($T$7:$T$165&lt;&gt;"",IF($Q$7:$Q$165&lt;&gt;"",ROW($Q$7:$Q$165)-MIN(ROW($Q$7:$Q$165))+1,""),""),ROW()-ROW(A$167)+1)),"##0")," "),"")</f>
        <v>0</v>
      </c>
      <c r="S169">
        <f t="array" ref="S169">IFERROR(CONCATENATE((INDEX($A$7:$A$165,SMALL(IF($T$7:$T$165&lt;&gt;"",IF($Q$7:$Q$165&lt;&gt;"",ROW($Q$7:$Q$165)-MIN(ROW($Q$7:$Q$165))+1,""),""),ROW()-ROW(A$167)+1))),),"")</f>
        <v>0</v>
      </c>
      <c r="W169">
        <f t="array" ref="W169">IFERROR(CONCATENATE((INDEX($Z$7:$Z$165,SMALL(IF($Z$7:$Z$165&lt;&gt;"",IF($W$7:$W$165&lt;&gt;"",ROW($W$7:$W$165)-MIN(ROW($W$7:$W$165))+1,""),""),ROW()-ROW(A$167)+1))),","),"")</f>
        <v>0</v>
      </c>
      <c r="X169">
        <f t="array" ref="X169">IFERROR(CONCATENATE(TEXT(INDEX($W$7:$W$165,SMALL(IF($Z$7:$Z$165&lt;&gt;"",IF($W$7:$W$165&lt;&gt;"",ROW($W$7:$W$165)-MIN(ROW($W$7:$W$165))+1,""),""),ROW()-ROW(A$167)+1)),"##0"),","),"")</f>
        <v>0</v>
      </c>
      <c r="Y169">
        <f t="array" ref="Y169">IFERROR(CONCATENATE((INDEX($A$7:$A$165,SMALL(IF($Z$7:$Z$165&lt;&gt;"",IF($W$7:$W$165&lt;&gt;"",ROW($W$7:$W$165)-MIN(ROW($W$7:$W$165))+1,""),""),ROW()-ROW(A$167)+1))),),"")</f>
        <v>0</v>
      </c>
    </row>
    <row r="170" spans="1:27">
      <c r="K170">
        <f t="array" ref="K170">IFERROR(CONCATENATE(TEXT(INDEX($K$7:$K$165,SMALL(IF($N$7:$N$165&lt;&gt;"",IF($K$7:$K$165&lt;&gt;"",ROW($K$7:$K$165)-MIN(ROW($K$7:$K$165))+1,""),""),ROW()-ROW(A$167)+1)),"##0"),","),"")</f>
        <v>0</v>
      </c>
      <c r="L170">
        <f t="array" ref="L170">IFERROR(CONCATENATE((INDEX($N$7:$N$165,SMALL(IF($N$7:$N$165&lt;&gt;"",IF($K$7:$K$165&lt;&gt;"",ROW($K$7:$K$165)-MIN(ROW($K$7:$K$165))+1,""),""),ROW()-ROW(A$167)+1))),","),"")</f>
        <v>0</v>
      </c>
      <c r="M170">
        <f t="array" ref="M170">IFERROR(CONCATENATE((INDEX($A$7:$A$165,SMALL(IF($N$7:$N$165&lt;&gt;"",IF($K$7:$K$165&lt;&gt;"",ROW($K$7:$K$165)-MIN(ROW($K$7:$K$165))+1,""),""),ROW()-ROW(A$167)+1))),),"")</f>
        <v>0</v>
      </c>
      <c r="Q170">
        <f t="array" ref="Q170">IFERROR(CONCATENATE((INDEX($T$7:$T$165,SMALL(IF($T$7:$T$165&lt;&gt;"",IF($Q$7:$Q$165&lt;&gt;"",ROW($Q$7:$Q$165)-MIN(ROW($Q$7:$Q$165))+1,""),""),ROW()-ROW(A$167)+1)))," "),"")</f>
        <v>0</v>
      </c>
      <c r="R170">
        <f t="array" ref="R170">IFERROR(CONCATENATE(TEXT(INDEX($Q$7:$Q$165,SMALL(IF($T$7:$T$165&lt;&gt;"",IF($Q$7:$Q$165&lt;&gt;"",ROW($Q$7:$Q$165)-MIN(ROW($Q$7:$Q$165))+1,""),""),ROW()-ROW(A$167)+1)),"##0")," "),"")</f>
        <v>0</v>
      </c>
      <c r="S170">
        <f t="array" ref="S170">IFERROR(CONCATENATE((INDEX($A$7:$A$165,SMALL(IF($T$7:$T$165&lt;&gt;"",IF($Q$7:$Q$165&lt;&gt;"",ROW($Q$7:$Q$165)-MIN(ROW($Q$7:$Q$165))+1,""),""),ROW()-ROW(A$167)+1))),),"")</f>
        <v>0</v>
      </c>
      <c r="W170">
        <f t="array" ref="W170">IFERROR(CONCATENATE((INDEX($Z$7:$Z$165,SMALL(IF($Z$7:$Z$165&lt;&gt;"",IF($W$7:$W$165&lt;&gt;"",ROW($W$7:$W$165)-MIN(ROW($W$7:$W$165))+1,""),""),ROW()-ROW(A$167)+1))),","),"")</f>
        <v>0</v>
      </c>
      <c r="X170">
        <f t="array" ref="X170">IFERROR(CONCATENATE(TEXT(INDEX($W$7:$W$165,SMALL(IF($Z$7:$Z$165&lt;&gt;"",IF($W$7:$W$165&lt;&gt;"",ROW($W$7:$W$165)-MIN(ROW($W$7:$W$165))+1,""),""),ROW()-ROW(A$167)+1)),"##0"),","),"")</f>
        <v>0</v>
      </c>
      <c r="Y170">
        <f t="array" ref="Y170">IFERROR(CONCATENATE((INDEX($A$7:$A$165,SMALL(IF($Z$7:$Z$165&lt;&gt;"",IF($W$7:$W$165&lt;&gt;"",ROW($W$7:$W$165)-MIN(ROW($W$7:$W$165))+1,""),""),ROW()-ROW(A$167)+1))),),"")</f>
        <v>0</v>
      </c>
    </row>
    <row r="171" spans="1:27">
      <c r="K171">
        <f t="array" ref="K171">IFERROR(CONCATENATE(TEXT(INDEX($K$7:$K$165,SMALL(IF($N$7:$N$165&lt;&gt;"",IF($K$7:$K$165&lt;&gt;"",ROW($K$7:$K$165)-MIN(ROW($K$7:$K$165))+1,""),""),ROW()-ROW(A$167)+1)),"##0"),","),"")</f>
        <v>0</v>
      </c>
      <c r="L171">
        <f t="array" ref="L171">IFERROR(CONCATENATE((INDEX($N$7:$N$165,SMALL(IF($N$7:$N$165&lt;&gt;"",IF($K$7:$K$165&lt;&gt;"",ROW($K$7:$K$165)-MIN(ROW($K$7:$K$165))+1,""),""),ROW()-ROW(A$167)+1))),","),"")</f>
        <v>0</v>
      </c>
      <c r="M171">
        <f t="array" ref="M171">IFERROR(CONCATENATE((INDEX($A$7:$A$165,SMALL(IF($N$7:$N$165&lt;&gt;"",IF($K$7:$K$165&lt;&gt;"",ROW($K$7:$K$165)-MIN(ROW($K$7:$K$165))+1,""),""),ROW()-ROW(A$167)+1))),),"")</f>
        <v>0</v>
      </c>
      <c r="Q171">
        <f t="array" ref="Q171">IFERROR(CONCATENATE((INDEX($T$7:$T$165,SMALL(IF($T$7:$T$165&lt;&gt;"",IF($Q$7:$Q$165&lt;&gt;"",ROW($Q$7:$Q$165)-MIN(ROW($Q$7:$Q$165))+1,""),""),ROW()-ROW(A$167)+1)))," "),"")</f>
        <v>0</v>
      </c>
      <c r="R171">
        <f t="array" ref="R171">IFERROR(CONCATENATE(TEXT(INDEX($Q$7:$Q$165,SMALL(IF($T$7:$T$165&lt;&gt;"",IF($Q$7:$Q$165&lt;&gt;"",ROW($Q$7:$Q$165)-MIN(ROW($Q$7:$Q$165))+1,""),""),ROW()-ROW(A$167)+1)),"##0")," "),"")</f>
        <v>0</v>
      </c>
      <c r="S171">
        <f t="array" ref="S171">IFERROR(CONCATENATE((INDEX($A$7:$A$165,SMALL(IF($T$7:$T$165&lt;&gt;"",IF($Q$7:$Q$165&lt;&gt;"",ROW($Q$7:$Q$165)-MIN(ROW($Q$7:$Q$165))+1,""),""),ROW()-ROW(A$167)+1))),),"")</f>
        <v>0</v>
      </c>
      <c r="W171">
        <f t="array" ref="W171">IFERROR(CONCATENATE((INDEX($Z$7:$Z$165,SMALL(IF($Z$7:$Z$165&lt;&gt;"",IF($W$7:$W$165&lt;&gt;"",ROW($W$7:$W$165)-MIN(ROW($W$7:$W$165))+1,""),""),ROW()-ROW(A$167)+1))),","),"")</f>
        <v>0</v>
      </c>
      <c r="X171">
        <f t="array" ref="X171">IFERROR(CONCATENATE(TEXT(INDEX($W$7:$W$165,SMALL(IF($Z$7:$Z$165&lt;&gt;"",IF($W$7:$W$165&lt;&gt;"",ROW($W$7:$W$165)-MIN(ROW($W$7:$W$165))+1,""),""),ROW()-ROW(A$167)+1)),"##0"),","),"")</f>
        <v>0</v>
      </c>
      <c r="Y171">
        <f t="array" ref="Y171">IFERROR(CONCATENATE((INDEX($A$7:$A$165,SMALL(IF($Z$7:$Z$165&lt;&gt;"",IF($W$7:$W$165&lt;&gt;"",ROW($W$7:$W$165)-MIN(ROW($W$7:$W$165))+1,""),""),ROW()-ROW(A$167)+1))),),"")</f>
        <v>0</v>
      </c>
    </row>
    <row r="172" spans="1:27">
      <c r="K172">
        <f t="array" ref="K172">IFERROR(CONCATENATE(TEXT(INDEX($K$7:$K$165,SMALL(IF($N$7:$N$165&lt;&gt;"",IF($K$7:$K$165&lt;&gt;"",ROW($K$7:$K$165)-MIN(ROW($K$7:$K$165))+1,""),""),ROW()-ROW(A$167)+1)),"##0"),","),"")</f>
        <v>0</v>
      </c>
      <c r="L172">
        <f t="array" ref="L172">IFERROR(CONCATENATE((INDEX($N$7:$N$165,SMALL(IF($N$7:$N$165&lt;&gt;"",IF($K$7:$K$165&lt;&gt;"",ROW($K$7:$K$165)-MIN(ROW($K$7:$K$165))+1,""),""),ROW()-ROW(A$167)+1))),","),"")</f>
        <v>0</v>
      </c>
      <c r="M172">
        <f t="array" ref="M172">IFERROR(CONCATENATE((INDEX($A$7:$A$165,SMALL(IF($N$7:$N$165&lt;&gt;"",IF($K$7:$K$165&lt;&gt;"",ROW($K$7:$K$165)-MIN(ROW($K$7:$K$165))+1,""),""),ROW()-ROW(A$167)+1))),),"")</f>
        <v>0</v>
      </c>
      <c r="Q172">
        <f t="array" ref="Q172">IFERROR(CONCATENATE((INDEX($T$7:$T$165,SMALL(IF($T$7:$T$165&lt;&gt;"",IF($Q$7:$Q$165&lt;&gt;"",ROW($Q$7:$Q$165)-MIN(ROW($Q$7:$Q$165))+1,""),""),ROW()-ROW(A$167)+1)))," "),"")</f>
        <v>0</v>
      </c>
      <c r="R172">
        <f t="array" ref="R172">IFERROR(CONCATENATE(TEXT(INDEX($Q$7:$Q$165,SMALL(IF($T$7:$T$165&lt;&gt;"",IF($Q$7:$Q$165&lt;&gt;"",ROW($Q$7:$Q$165)-MIN(ROW($Q$7:$Q$165))+1,""),""),ROW()-ROW(A$167)+1)),"##0")," "),"")</f>
        <v>0</v>
      </c>
      <c r="S172">
        <f t="array" ref="S172">IFERROR(CONCATENATE((INDEX($A$7:$A$165,SMALL(IF($T$7:$T$165&lt;&gt;"",IF($Q$7:$Q$165&lt;&gt;"",ROW($Q$7:$Q$165)-MIN(ROW($Q$7:$Q$165))+1,""),""),ROW()-ROW(A$167)+1))),),"")</f>
        <v>0</v>
      </c>
      <c r="W172">
        <f t="array" ref="W172">IFERROR(CONCATENATE((INDEX($Z$7:$Z$165,SMALL(IF($Z$7:$Z$165&lt;&gt;"",IF($W$7:$W$165&lt;&gt;"",ROW($W$7:$W$165)-MIN(ROW($W$7:$W$165))+1,""),""),ROW()-ROW(A$167)+1))),","),"")</f>
        <v>0</v>
      </c>
      <c r="X172">
        <f t="array" ref="X172">IFERROR(CONCATENATE(TEXT(INDEX($W$7:$W$165,SMALL(IF($Z$7:$Z$165&lt;&gt;"",IF($W$7:$W$165&lt;&gt;"",ROW($W$7:$W$165)-MIN(ROW($W$7:$W$165))+1,""),""),ROW()-ROW(A$167)+1)),"##0"),","),"")</f>
        <v>0</v>
      </c>
      <c r="Y172">
        <f t="array" ref="Y172">IFERROR(CONCATENATE((INDEX($A$7:$A$165,SMALL(IF($Z$7:$Z$165&lt;&gt;"",IF($W$7:$W$165&lt;&gt;"",ROW($W$7:$W$165)-MIN(ROW($W$7:$W$165))+1,""),""),ROW()-ROW(A$167)+1))),),"")</f>
        <v>0</v>
      </c>
    </row>
    <row r="173" spans="1:27">
      <c r="K173">
        <f t="array" ref="K173">IFERROR(CONCATENATE(TEXT(INDEX($K$7:$K$165,SMALL(IF($N$7:$N$165&lt;&gt;"",IF($K$7:$K$165&lt;&gt;"",ROW($K$7:$K$165)-MIN(ROW($K$7:$K$165))+1,""),""),ROW()-ROW(A$167)+1)),"##0"),","),"")</f>
        <v>0</v>
      </c>
      <c r="L173">
        <f t="array" ref="L173">IFERROR(CONCATENATE((INDEX($N$7:$N$165,SMALL(IF($N$7:$N$165&lt;&gt;"",IF($K$7:$K$165&lt;&gt;"",ROW($K$7:$K$165)-MIN(ROW($K$7:$K$165))+1,""),""),ROW()-ROW(A$167)+1))),","),"")</f>
        <v>0</v>
      </c>
      <c r="M173">
        <f t="array" ref="M173">IFERROR(CONCATENATE((INDEX($A$7:$A$165,SMALL(IF($N$7:$N$165&lt;&gt;"",IF($K$7:$K$165&lt;&gt;"",ROW($K$7:$K$165)-MIN(ROW($K$7:$K$165))+1,""),""),ROW()-ROW(A$167)+1))),),"")</f>
        <v>0</v>
      </c>
      <c r="Q173">
        <f t="array" ref="Q173">IFERROR(CONCATENATE((INDEX($T$7:$T$165,SMALL(IF($T$7:$T$165&lt;&gt;"",IF($Q$7:$Q$165&lt;&gt;"",ROW($Q$7:$Q$165)-MIN(ROW($Q$7:$Q$165))+1,""),""),ROW()-ROW(A$167)+1)))," "),"")</f>
        <v>0</v>
      </c>
      <c r="R173">
        <f t="array" ref="R173">IFERROR(CONCATENATE(TEXT(INDEX($Q$7:$Q$165,SMALL(IF($T$7:$T$165&lt;&gt;"",IF($Q$7:$Q$165&lt;&gt;"",ROW($Q$7:$Q$165)-MIN(ROW($Q$7:$Q$165))+1,""),""),ROW()-ROW(A$167)+1)),"##0")," "),"")</f>
        <v>0</v>
      </c>
      <c r="S173">
        <f t="array" ref="S173">IFERROR(CONCATENATE((INDEX($A$7:$A$165,SMALL(IF($T$7:$T$165&lt;&gt;"",IF($Q$7:$Q$165&lt;&gt;"",ROW($Q$7:$Q$165)-MIN(ROW($Q$7:$Q$165))+1,""),""),ROW()-ROW(A$167)+1))),),"")</f>
        <v>0</v>
      </c>
      <c r="W173">
        <f t="array" ref="W173">IFERROR(CONCATENATE((INDEX($Z$7:$Z$165,SMALL(IF($Z$7:$Z$165&lt;&gt;"",IF($W$7:$W$165&lt;&gt;"",ROW($W$7:$W$165)-MIN(ROW($W$7:$W$165))+1,""),""),ROW()-ROW(A$167)+1))),","),"")</f>
        <v>0</v>
      </c>
      <c r="X173">
        <f t="array" ref="X173">IFERROR(CONCATENATE(TEXT(INDEX($W$7:$W$165,SMALL(IF($Z$7:$Z$165&lt;&gt;"",IF($W$7:$W$165&lt;&gt;"",ROW($W$7:$W$165)-MIN(ROW($W$7:$W$165))+1,""),""),ROW()-ROW(A$167)+1)),"##0"),","),"")</f>
        <v>0</v>
      </c>
      <c r="Y173">
        <f t="array" ref="Y173">IFERROR(CONCATENATE((INDEX($A$7:$A$165,SMALL(IF($Z$7:$Z$165&lt;&gt;"",IF($W$7:$W$165&lt;&gt;"",ROW($W$7:$W$165)-MIN(ROW($W$7:$W$165))+1,""),""),ROW()-ROW(A$167)+1))),),"")</f>
        <v>0</v>
      </c>
    </row>
    <row r="174" spans="1:27">
      <c r="K174">
        <f t="array" ref="K174">IFERROR(CONCATENATE(TEXT(INDEX($K$7:$K$165,SMALL(IF($N$7:$N$165&lt;&gt;"",IF($K$7:$K$165&lt;&gt;"",ROW($K$7:$K$165)-MIN(ROW($K$7:$K$165))+1,""),""),ROW()-ROW(A$167)+1)),"##0"),","),"")</f>
        <v>0</v>
      </c>
      <c r="L174">
        <f t="array" ref="L174">IFERROR(CONCATENATE((INDEX($N$7:$N$165,SMALL(IF($N$7:$N$165&lt;&gt;"",IF($K$7:$K$165&lt;&gt;"",ROW($K$7:$K$165)-MIN(ROW($K$7:$K$165))+1,""),""),ROW()-ROW(A$167)+1))),","),"")</f>
        <v>0</v>
      </c>
      <c r="M174">
        <f t="array" ref="M174">IFERROR(CONCATENATE((INDEX($A$7:$A$165,SMALL(IF($N$7:$N$165&lt;&gt;"",IF($K$7:$K$165&lt;&gt;"",ROW($K$7:$K$165)-MIN(ROW($K$7:$K$165))+1,""),""),ROW()-ROW(A$167)+1))),),"")</f>
        <v>0</v>
      </c>
      <c r="Q174">
        <f t="array" ref="Q174">IFERROR(CONCATENATE((INDEX($T$7:$T$165,SMALL(IF($T$7:$T$165&lt;&gt;"",IF($Q$7:$Q$165&lt;&gt;"",ROW($Q$7:$Q$165)-MIN(ROW($Q$7:$Q$165))+1,""),""),ROW()-ROW(A$167)+1)))," "),"")</f>
        <v>0</v>
      </c>
      <c r="R174">
        <f t="array" ref="R174">IFERROR(CONCATENATE(TEXT(INDEX($Q$7:$Q$165,SMALL(IF($T$7:$T$165&lt;&gt;"",IF($Q$7:$Q$165&lt;&gt;"",ROW($Q$7:$Q$165)-MIN(ROW($Q$7:$Q$165))+1,""),""),ROW()-ROW(A$167)+1)),"##0")," "),"")</f>
        <v>0</v>
      </c>
      <c r="S174">
        <f t="array" ref="S174">IFERROR(CONCATENATE((INDEX($A$7:$A$165,SMALL(IF($T$7:$T$165&lt;&gt;"",IF($Q$7:$Q$165&lt;&gt;"",ROW($Q$7:$Q$165)-MIN(ROW($Q$7:$Q$165))+1,""),""),ROW()-ROW(A$167)+1))),),"")</f>
        <v>0</v>
      </c>
      <c r="W174">
        <f t="array" ref="W174">IFERROR(CONCATENATE((INDEX($Z$7:$Z$165,SMALL(IF($Z$7:$Z$165&lt;&gt;"",IF($W$7:$W$165&lt;&gt;"",ROW($W$7:$W$165)-MIN(ROW($W$7:$W$165))+1,""),""),ROW()-ROW(A$167)+1))),","),"")</f>
        <v>0</v>
      </c>
      <c r="X174">
        <f t="array" ref="X174">IFERROR(CONCATENATE(TEXT(INDEX($W$7:$W$165,SMALL(IF($Z$7:$Z$165&lt;&gt;"",IF($W$7:$W$165&lt;&gt;"",ROW($W$7:$W$165)-MIN(ROW($W$7:$W$165))+1,""),""),ROW()-ROW(A$167)+1)),"##0"),","),"")</f>
        <v>0</v>
      </c>
      <c r="Y174">
        <f t="array" ref="Y174">IFERROR(CONCATENATE((INDEX($A$7:$A$165,SMALL(IF($Z$7:$Z$165&lt;&gt;"",IF($W$7:$W$165&lt;&gt;"",ROW($W$7:$W$165)-MIN(ROW($W$7:$W$165))+1,""),""),ROW()-ROW(A$167)+1))),),"")</f>
        <v>0</v>
      </c>
    </row>
    <row r="175" spans="1:27">
      <c r="K175">
        <f t="array" ref="K175">IFERROR(CONCATENATE(TEXT(INDEX($K$7:$K$165,SMALL(IF($N$7:$N$165&lt;&gt;"",IF($K$7:$K$165&lt;&gt;"",ROW($K$7:$K$165)-MIN(ROW($K$7:$K$165))+1,""),""),ROW()-ROW(A$167)+1)),"##0"),","),"")</f>
        <v>0</v>
      </c>
      <c r="L175">
        <f t="array" ref="L175">IFERROR(CONCATENATE((INDEX($N$7:$N$165,SMALL(IF($N$7:$N$165&lt;&gt;"",IF($K$7:$K$165&lt;&gt;"",ROW($K$7:$K$165)-MIN(ROW($K$7:$K$165))+1,""),""),ROW()-ROW(A$167)+1))),","),"")</f>
        <v>0</v>
      </c>
      <c r="M175">
        <f t="array" ref="M175">IFERROR(CONCATENATE((INDEX($A$7:$A$165,SMALL(IF($N$7:$N$165&lt;&gt;"",IF($K$7:$K$165&lt;&gt;"",ROW($K$7:$K$165)-MIN(ROW($K$7:$K$165))+1,""),""),ROW()-ROW(A$167)+1))),),"")</f>
        <v>0</v>
      </c>
      <c r="Q175">
        <f t="array" ref="Q175">IFERROR(CONCATENATE((INDEX($T$7:$T$165,SMALL(IF($T$7:$T$165&lt;&gt;"",IF($Q$7:$Q$165&lt;&gt;"",ROW($Q$7:$Q$165)-MIN(ROW($Q$7:$Q$165))+1,""),""),ROW()-ROW(A$167)+1)))," "),"")</f>
        <v>0</v>
      </c>
      <c r="R175">
        <f t="array" ref="R175">IFERROR(CONCATENATE(TEXT(INDEX($Q$7:$Q$165,SMALL(IF($T$7:$T$165&lt;&gt;"",IF($Q$7:$Q$165&lt;&gt;"",ROW($Q$7:$Q$165)-MIN(ROW($Q$7:$Q$165))+1,""),""),ROW()-ROW(A$167)+1)),"##0")," "),"")</f>
        <v>0</v>
      </c>
      <c r="S175">
        <f t="array" ref="S175">IFERROR(CONCATENATE((INDEX($A$7:$A$165,SMALL(IF($T$7:$T$165&lt;&gt;"",IF($Q$7:$Q$165&lt;&gt;"",ROW($Q$7:$Q$165)-MIN(ROW($Q$7:$Q$165))+1,""),""),ROW()-ROW(A$167)+1))),),"")</f>
        <v>0</v>
      </c>
      <c r="W175">
        <f t="array" ref="W175">IFERROR(CONCATENATE((INDEX($Z$7:$Z$165,SMALL(IF($Z$7:$Z$165&lt;&gt;"",IF($W$7:$W$165&lt;&gt;"",ROW($W$7:$W$165)-MIN(ROW($W$7:$W$165))+1,""),""),ROW()-ROW(A$167)+1))),","),"")</f>
        <v>0</v>
      </c>
      <c r="X175">
        <f t="array" ref="X175">IFERROR(CONCATENATE(TEXT(INDEX($W$7:$W$165,SMALL(IF($Z$7:$Z$165&lt;&gt;"",IF($W$7:$W$165&lt;&gt;"",ROW($W$7:$W$165)-MIN(ROW($W$7:$W$165))+1,""),""),ROW()-ROW(A$167)+1)),"##0"),","),"")</f>
        <v>0</v>
      </c>
      <c r="Y175">
        <f t="array" ref="Y175">IFERROR(CONCATENATE((INDEX($A$7:$A$165,SMALL(IF($Z$7:$Z$165&lt;&gt;"",IF($W$7:$W$165&lt;&gt;"",ROW($W$7:$W$165)-MIN(ROW($W$7:$W$165))+1,""),""),ROW()-ROW(A$167)+1))),),"")</f>
        <v>0</v>
      </c>
    </row>
    <row r="176" spans="1:27">
      <c r="K176">
        <f t="array" ref="K176">IFERROR(CONCATENATE(TEXT(INDEX($K$7:$K$165,SMALL(IF($N$7:$N$165&lt;&gt;"",IF($K$7:$K$165&lt;&gt;"",ROW($K$7:$K$165)-MIN(ROW($K$7:$K$165))+1,""),""),ROW()-ROW(A$167)+1)),"##0"),","),"")</f>
        <v>0</v>
      </c>
      <c r="L176">
        <f t="array" ref="L176">IFERROR(CONCATENATE((INDEX($N$7:$N$165,SMALL(IF($N$7:$N$165&lt;&gt;"",IF($K$7:$K$165&lt;&gt;"",ROW($K$7:$K$165)-MIN(ROW($K$7:$K$165))+1,""),""),ROW()-ROW(A$167)+1))),","),"")</f>
        <v>0</v>
      </c>
      <c r="M176">
        <f t="array" ref="M176">IFERROR(CONCATENATE((INDEX($A$7:$A$165,SMALL(IF($N$7:$N$165&lt;&gt;"",IF($K$7:$K$165&lt;&gt;"",ROW($K$7:$K$165)-MIN(ROW($K$7:$K$165))+1,""),""),ROW()-ROW(A$167)+1))),),"")</f>
        <v>0</v>
      </c>
      <c r="Q176">
        <f t="array" ref="Q176">IFERROR(CONCATENATE((INDEX($T$7:$T$165,SMALL(IF($T$7:$T$165&lt;&gt;"",IF($Q$7:$Q$165&lt;&gt;"",ROW($Q$7:$Q$165)-MIN(ROW($Q$7:$Q$165))+1,""),""),ROW()-ROW(A$167)+1)))," "),"")</f>
        <v>0</v>
      </c>
      <c r="R176">
        <f t="array" ref="R176">IFERROR(CONCATENATE(TEXT(INDEX($Q$7:$Q$165,SMALL(IF($T$7:$T$165&lt;&gt;"",IF($Q$7:$Q$165&lt;&gt;"",ROW($Q$7:$Q$165)-MIN(ROW($Q$7:$Q$165))+1,""),""),ROW()-ROW(A$167)+1)),"##0")," "),"")</f>
        <v>0</v>
      </c>
      <c r="S176">
        <f t="array" ref="S176">IFERROR(CONCATENATE((INDEX($A$7:$A$165,SMALL(IF($T$7:$T$165&lt;&gt;"",IF($Q$7:$Q$165&lt;&gt;"",ROW($Q$7:$Q$165)-MIN(ROW($Q$7:$Q$165))+1,""),""),ROW()-ROW(A$167)+1))),),"")</f>
        <v>0</v>
      </c>
      <c r="W176">
        <f t="array" ref="W176">IFERROR(CONCATENATE((INDEX($Z$7:$Z$165,SMALL(IF($Z$7:$Z$165&lt;&gt;"",IF($W$7:$W$165&lt;&gt;"",ROW($W$7:$W$165)-MIN(ROW($W$7:$W$165))+1,""),""),ROW()-ROW(A$167)+1))),","),"")</f>
        <v>0</v>
      </c>
      <c r="X176">
        <f t="array" ref="X176">IFERROR(CONCATENATE(TEXT(INDEX($W$7:$W$165,SMALL(IF($Z$7:$Z$165&lt;&gt;"",IF($W$7:$W$165&lt;&gt;"",ROW($W$7:$W$165)-MIN(ROW($W$7:$W$165))+1,""),""),ROW()-ROW(A$167)+1)),"##0"),","),"")</f>
        <v>0</v>
      </c>
      <c r="Y176">
        <f t="array" ref="Y176">IFERROR(CONCATENATE((INDEX($A$7:$A$165,SMALL(IF($Z$7:$Z$165&lt;&gt;"",IF($W$7:$W$165&lt;&gt;"",ROW($W$7:$W$165)-MIN(ROW($W$7:$W$165))+1,""),""),ROW()-ROW(A$167)+1))),),"")</f>
        <v>0</v>
      </c>
    </row>
    <row r="177" spans="11:25">
      <c r="K177">
        <f t="array" ref="K177">IFERROR(CONCATENATE(TEXT(INDEX($K$7:$K$165,SMALL(IF($N$7:$N$165&lt;&gt;"",IF($K$7:$K$165&lt;&gt;"",ROW($K$7:$K$165)-MIN(ROW($K$7:$K$165))+1,""),""),ROW()-ROW(A$167)+1)),"##0"),","),"")</f>
        <v>0</v>
      </c>
      <c r="L177">
        <f t="array" ref="L177">IFERROR(CONCATENATE((INDEX($N$7:$N$165,SMALL(IF($N$7:$N$165&lt;&gt;"",IF($K$7:$K$165&lt;&gt;"",ROW($K$7:$K$165)-MIN(ROW($K$7:$K$165))+1,""),""),ROW()-ROW(A$167)+1))),","),"")</f>
        <v>0</v>
      </c>
      <c r="M177">
        <f t="array" ref="M177">IFERROR(CONCATENATE((INDEX($A$7:$A$165,SMALL(IF($N$7:$N$165&lt;&gt;"",IF($K$7:$K$165&lt;&gt;"",ROW($K$7:$K$165)-MIN(ROW($K$7:$K$165))+1,""),""),ROW()-ROW(A$167)+1))),),"")</f>
        <v>0</v>
      </c>
      <c r="Q177">
        <f t="array" ref="Q177">IFERROR(CONCATENATE((INDEX($T$7:$T$165,SMALL(IF($T$7:$T$165&lt;&gt;"",IF($Q$7:$Q$165&lt;&gt;"",ROW($Q$7:$Q$165)-MIN(ROW($Q$7:$Q$165))+1,""),""),ROW()-ROW(A$167)+1)))," "),"")</f>
        <v>0</v>
      </c>
      <c r="R177">
        <f t="array" ref="R177">IFERROR(CONCATENATE(TEXT(INDEX($Q$7:$Q$165,SMALL(IF($T$7:$T$165&lt;&gt;"",IF($Q$7:$Q$165&lt;&gt;"",ROW($Q$7:$Q$165)-MIN(ROW($Q$7:$Q$165))+1,""),""),ROW()-ROW(A$167)+1)),"##0")," "),"")</f>
        <v>0</v>
      </c>
      <c r="S177">
        <f t="array" ref="S177">IFERROR(CONCATENATE((INDEX($A$7:$A$165,SMALL(IF($T$7:$T$165&lt;&gt;"",IF($Q$7:$Q$165&lt;&gt;"",ROW($Q$7:$Q$165)-MIN(ROW($Q$7:$Q$165))+1,""),""),ROW()-ROW(A$167)+1))),),"")</f>
        <v>0</v>
      </c>
      <c r="W177">
        <f t="array" ref="W177">IFERROR(CONCATENATE((INDEX($Z$7:$Z$165,SMALL(IF($Z$7:$Z$165&lt;&gt;"",IF($W$7:$W$165&lt;&gt;"",ROW($W$7:$W$165)-MIN(ROW($W$7:$W$165))+1,""),""),ROW()-ROW(A$167)+1))),","),"")</f>
        <v>0</v>
      </c>
      <c r="X177">
        <f t="array" ref="X177">IFERROR(CONCATENATE(TEXT(INDEX($W$7:$W$165,SMALL(IF($Z$7:$Z$165&lt;&gt;"",IF($W$7:$W$165&lt;&gt;"",ROW($W$7:$W$165)-MIN(ROW($W$7:$W$165))+1,""),""),ROW()-ROW(A$167)+1)),"##0"),","),"")</f>
        <v>0</v>
      </c>
      <c r="Y177">
        <f t="array" ref="Y177">IFERROR(CONCATENATE((INDEX($A$7:$A$165,SMALL(IF($Z$7:$Z$165&lt;&gt;"",IF($W$7:$W$165&lt;&gt;"",ROW($W$7:$W$165)-MIN(ROW($W$7:$W$165))+1,""),""),ROW()-ROW(A$167)+1))),),"")</f>
        <v>0</v>
      </c>
    </row>
    <row r="178" spans="11:25">
      <c r="K178">
        <f t="array" ref="K178">IFERROR(CONCATENATE(TEXT(INDEX($K$7:$K$165,SMALL(IF($N$7:$N$165&lt;&gt;"",IF($K$7:$K$165&lt;&gt;"",ROW($K$7:$K$165)-MIN(ROW($K$7:$K$165))+1,""),""),ROW()-ROW(A$167)+1)),"##0"),","),"")</f>
        <v>0</v>
      </c>
      <c r="L178">
        <f t="array" ref="L178">IFERROR(CONCATENATE((INDEX($N$7:$N$165,SMALL(IF($N$7:$N$165&lt;&gt;"",IF($K$7:$K$165&lt;&gt;"",ROW($K$7:$K$165)-MIN(ROW($K$7:$K$165))+1,""),""),ROW()-ROW(A$167)+1))),","),"")</f>
        <v>0</v>
      </c>
      <c r="M178">
        <f t="array" ref="M178">IFERROR(CONCATENATE((INDEX($A$7:$A$165,SMALL(IF($N$7:$N$165&lt;&gt;"",IF($K$7:$K$165&lt;&gt;"",ROW($K$7:$K$165)-MIN(ROW($K$7:$K$165))+1,""),""),ROW()-ROW(A$167)+1))),),"")</f>
        <v>0</v>
      </c>
      <c r="Q178">
        <f t="array" ref="Q178">IFERROR(CONCATENATE((INDEX($T$7:$T$165,SMALL(IF($T$7:$T$165&lt;&gt;"",IF($Q$7:$Q$165&lt;&gt;"",ROW($Q$7:$Q$165)-MIN(ROW($Q$7:$Q$165))+1,""),""),ROW()-ROW(A$167)+1)))," "),"")</f>
        <v>0</v>
      </c>
      <c r="R178">
        <f t="array" ref="R178">IFERROR(CONCATENATE(TEXT(INDEX($Q$7:$Q$165,SMALL(IF($T$7:$T$165&lt;&gt;"",IF($Q$7:$Q$165&lt;&gt;"",ROW($Q$7:$Q$165)-MIN(ROW($Q$7:$Q$165))+1,""),""),ROW()-ROW(A$167)+1)),"##0")," "),"")</f>
        <v>0</v>
      </c>
      <c r="S178">
        <f t="array" ref="S178">IFERROR(CONCATENATE((INDEX($A$7:$A$165,SMALL(IF($T$7:$T$165&lt;&gt;"",IF($Q$7:$Q$165&lt;&gt;"",ROW($Q$7:$Q$165)-MIN(ROW($Q$7:$Q$165))+1,""),""),ROW()-ROW(A$167)+1))),),"")</f>
        <v>0</v>
      </c>
      <c r="W178">
        <f t="array" ref="W178">IFERROR(CONCATENATE((INDEX($Z$7:$Z$165,SMALL(IF($Z$7:$Z$165&lt;&gt;"",IF($W$7:$W$165&lt;&gt;"",ROW($W$7:$W$165)-MIN(ROW($W$7:$W$165))+1,""),""),ROW()-ROW(A$167)+1))),","),"")</f>
        <v>0</v>
      </c>
      <c r="X178">
        <f t="array" ref="X178">IFERROR(CONCATENATE(TEXT(INDEX($W$7:$W$165,SMALL(IF($Z$7:$Z$165&lt;&gt;"",IF($W$7:$W$165&lt;&gt;"",ROW($W$7:$W$165)-MIN(ROW($W$7:$W$165))+1,""),""),ROW()-ROW(A$167)+1)),"##0"),","),"")</f>
        <v>0</v>
      </c>
      <c r="Y178">
        <f t="array" ref="Y178">IFERROR(CONCATENATE((INDEX($A$7:$A$165,SMALL(IF($Z$7:$Z$165&lt;&gt;"",IF($W$7:$W$165&lt;&gt;"",ROW($W$7:$W$165)-MIN(ROW($W$7:$W$165))+1,""),""),ROW()-ROW(A$167)+1))),),"")</f>
        <v>0</v>
      </c>
    </row>
    <row r="179" spans="11:25">
      <c r="K179">
        <f t="array" ref="K179">IFERROR(CONCATENATE(TEXT(INDEX($K$7:$K$165,SMALL(IF($N$7:$N$165&lt;&gt;"",IF($K$7:$K$165&lt;&gt;"",ROW($K$7:$K$165)-MIN(ROW($K$7:$K$165))+1,""),""),ROW()-ROW(A$167)+1)),"##0"),","),"")</f>
        <v>0</v>
      </c>
      <c r="L179">
        <f t="array" ref="L179">IFERROR(CONCATENATE((INDEX($N$7:$N$165,SMALL(IF($N$7:$N$165&lt;&gt;"",IF($K$7:$K$165&lt;&gt;"",ROW($K$7:$K$165)-MIN(ROW($K$7:$K$165))+1,""),""),ROW()-ROW(A$167)+1))),","),"")</f>
        <v>0</v>
      </c>
      <c r="M179">
        <f t="array" ref="M179">IFERROR(CONCATENATE((INDEX($A$7:$A$165,SMALL(IF($N$7:$N$165&lt;&gt;"",IF($K$7:$K$165&lt;&gt;"",ROW($K$7:$K$165)-MIN(ROW($K$7:$K$165))+1,""),""),ROW()-ROW(A$167)+1))),),"")</f>
        <v>0</v>
      </c>
      <c r="Q179">
        <f t="array" ref="Q179">IFERROR(CONCATENATE((INDEX($T$7:$T$165,SMALL(IF($T$7:$T$165&lt;&gt;"",IF($Q$7:$Q$165&lt;&gt;"",ROW($Q$7:$Q$165)-MIN(ROW($Q$7:$Q$165))+1,""),""),ROW()-ROW(A$167)+1)))," "),"")</f>
        <v>0</v>
      </c>
      <c r="R179">
        <f t="array" ref="R179">IFERROR(CONCATENATE(TEXT(INDEX($Q$7:$Q$165,SMALL(IF($T$7:$T$165&lt;&gt;"",IF($Q$7:$Q$165&lt;&gt;"",ROW($Q$7:$Q$165)-MIN(ROW($Q$7:$Q$165))+1,""),""),ROW()-ROW(A$167)+1)),"##0")," "),"")</f>
        <v>0</v>
      </c>
      <c r="S179">
        <f t="array" ref="S179">IFERROR(CONCATENATE((INDEX($A$7:$A$165,SMALL(IF($T$7:$T$165&lt;&gt;"",IF($Q$7:$Q$165&lt;&gt;"",ROW($Q$7:$Q$165)-MIN(ROW($Q$7:$Q$165))+1,""),""),ROW()-ROW(A$167)+1))),),"")</f>
        <v>0</v>
      </c>
      <c r="W179">
        <f t="array" ref="W179">IFERROR(CONCATENATE((INDEX($Z$7:$Z$165,SMALL(IF($Z$7:$Z$165&lt;&gt;"",IF($W$7:$W$165&lt;&gt;"",ROW($W$7:$W$165)-MIN(ROW($W$7:$W$165))+1,""),""),ROW()-ROW(A$167)+1))),","),"")</f>
        <v>0</v>
      </c>
      <c r="X179">
        <f t="array" ref="X179">IFERROR(CONCATENATE(TEXT(INDEX($W$7:$W$165,SMALL(IF($Z$7:$Z$165&lt;&gt;"",IF($W$7:$W$165&lt;&gt;"",ROW($W$7:$W$165)-MIN(ROW($W$7:$W$165))+1,""),""),ROW()-ROW(A$167)+1)),"##0"),","),"")</f>
        <v>0</v>
      </c>
      <c r="Y179">
        <f t="array" ref="Y179">IFERROR(CONCATENATE((INDEX($A$7:$A$165,SMALL(IF($Z$7:$Z$165&lt;&gt;"",IF($W$7:$W$165&lt;&gt;"",ROW($W$7:$W$165)-MIN(ROW($W$7:$W$165))+1,""),""),ROW()-ROW(A$167)+1))),),"")</f>
        <v>0</v>
      </c>
    </row>
    <row r="180" spans="11:25">
      <c r="K180">
        <f t="array" ref="K180">IFERROR(CONCATENATE(TEXT(INDEX($K$7:$K$165,SMALL(IF($N$7:$N$165&lt;&gt;"",IF($K$7:$K$165&lt;&gt;"",ROW($K$7:$K$165)-MIN(ROW($K$7:$K$165))+1,""),""),ROW()-ROW(A$167)+1)),"##0"),","),"")</f>
        <v>0</v>
      </c>
      <c r="L180">
        <f t="array" ref="L180">IFERROR(CONCATENATE((INDEX($N$7:$N$165,SMALL(IF($N$7:$N$165&lt;&gt;"",IF($K$7:$K$165&lt;&gt;"",ROW($K$7:$K$165)-MIN(ROW($K$7:$K$165))+1,""),""),ROW()-ROW(A$167)+1))),","),"")</f>
        <v>0</v>
      </c>
      <c r="M180">
        <f t="array" ref="M180">IFERROR(CONCATENATE((INDEX($A$7:$A$165,SMALL(IF($N$7:$N$165&lt;&gt;"",IF($K$7:$K$165&lt;&gt;"",ROW($K$7:$K$165)-MIN(ROW($K$7:$K$165))+1,""),""),ROW()-ROW(A$167)+1))),),"")</f>
        <v>0</v>
      </c>
      <c r="Q180">
        <f t="array" ref="Q180">IFERROR(CONCATENATE((INDEX($T$7:$T$165,SMALL(IF($T$7:$T$165&lt;&gt;"",IF($Q$7:$Q$165&lt;&gt;"",ROW($Q$7:$Q$165)-MIN(ROW($Q$7:$Q$165))+1,""),""),ROW()-ROW(A$167)+1)))," "),"")</f>
        <v>0</v>
      </c>
      <c r="R180">
        <f t="array" ref="R180">IFERROR(CONCATENATE(TEXT(INDEX($Q$7:$Q$165,SMALL(IF($T$7:$T$165&lt;&gt;"",IF($Q$7:$Q$165&lt;&gt;"",ROW($Q$7:$Q$165)-MIN(ROW($Q$7:$Q$165))+1,""),""),ROW()-ROW(A$167)+1)),"##0")," "),"")</f>
        <v>0</v>
      </c>
      <c r="S180">
        <f t="array" ref="S180">IFERROR(CONCATENATE((INDEX($A$7:$A$165,SMALL(IF($T$7:$T$165&lt;&gt;"",IF($Q$7:$Q$165&lt;&gt;"",ROW($Q$7:$Q$165)-MIN(ROW($Q$7:$Q$165))+1,""),""),ROW()-ROW(A$167)+1))),),"")</f>
        <v>0</v>
      </c>
      <c r="W180">
        <f t="array" ref="W180">IFERROR(CONCATENATE((INDEX($Z$7:$Z$165,SMALL(IF($Z$7:$Z$165&lt;&gt;"",IF($W$7:$W$165&lt;&gt;"",ROW($W$7:$W$165)-MIN(ROW($W$7:$W$165))+1,""),""),ROW()-ROW(A$167)+1))),","),"")</f>
        <v>0</v>
      </c>
      <c r="X180">
        <f t="array" ref="X180">IFERROR(CONCATENATE(TEXT(INDEX($W$7:$W$165,SMALL(IF($Z$7:$Z$165&lt;&gt;"",IF($W$7:$W$165&lt;&gt;"",ROW($W$7:$W$165)-MIN(ROW($W$7:$W$165))+1,""),""),ROW()-ROW(A$167)+1)),"##0"),","),"")</f>
        <v>0</v>
      </c>
      <c r="Y180">
        <f t="array" ref="Y180">IFERROR(CONCATENATE((INDEX($A$7:$A$165,SMALL(IF($Z$7:$Z$165&lt;&gt;"",IF($W$7:$W$165&lt;&gt;"",ROW($W$7:$W$165)-MIN(ROW($W$7:$W$165))+1,""),""),ROW()-ROW(A$167)+1))),),"")</f>
        <v>0</v>
      </c>
    </row>
    <row r="181" spans="11:25">
      <c r="K181">
        <f t="array" ref="K181">IFERROR(CONCATENATE(TEXT(INDEX($K$7:$K$165,SMALL(IF($N$7:$N$165&lt;&gt;"",IF($K$7:$K$165&lt;&gt;"",ROW($K$7:$K$165)-MIN(ROW($K$7:$K$165))+1,""),""),ROW()-ROW(A$167)+1)),"##0"),","),"")</f>
        <v>0</v>
      </c>
      <c r="L181">
        <f t="array" ref="L181">IFERROR(CONCATENATE((INDEX($N$7:$N$165,SMALL(IF($N$7:$N$165&lt;&gt;"",IF($K$7:$K$165&lt;&gt;"",ROW($K$7:$K$165)-MIN(ROW($K$7:$K$165))+1,""),""),ROW()-ROW(A$167)+1))),","),"")</f>
        <v>0</v>
      </c>
      <c r="M181">
        <f t="array" ref="M181">IFERROR(CONCATENATE((INDEX($A$7:$A$165,SMALL(IF($N$7:$N$165&lt;&gt;"",IF($K$7:$K$165&lt;&gt;"",ROW($K$7:$K$165)-MIN(ROW($K$7:$K$165))+1,""),""),ROW()-ROW(A$167)+1))),),"")</f>
        <v>0</v>
      </c>
      <c r="Q181">
        <f t="array" ref="Q181">IFERROR(CONCATENATE((INDEX($T$7:$T$165,SMALL(IF($T$7:$T$165&lt;&gt;"",IF($Q$7:$Q$165&lt;&gt;"",ROW($Q$7:$Q$165)-MIN(ROW($Q$7:$Q$165))+1,""),""),ROW()-ROW(A$167)+1)))," "),"")</f>
        <v>0</v>
      </c>
      <c r="R181">
        <f t="array" ref="R181">IFERROR(CONCATENATE(TEXT(INDEX($Q$7:$Q$165,SMALL(IF($T$7:$T$165&lt;&gt;"",IF($Q$7:$Q$165&lt;&gt;"",ROW($Q$7:$Q$165)-MIN(ROW($Q$7:$Q$165))+1,""),""),ROW()-ROW(A$167)+1)),"##0")," "),"")</f>
        <v>0</v>
      </c>
      <c r="S181">
        <f t="array" ref="S181">IFERROR(CONCATENATE((INDEX($A$7:$A$165,SMALL(IF($T$7:$T$165&lt;&gt;"",IF($Q$7:$Q$165&lt;&gt;"",ROW($Q$7:$Q$165)-MIN(ROW($Q$7:$Q$165))+1,""),""),ROW()-ROW(A$167)+1))),),"")</f>
        <v>0</v>
      </c>
      <c r="W181">
        <f t="array" ref="W181">IFERROR(CONCATENATE((INDEX($Z$7:$Z$165,SMALL(IF($Z$7:$Z$165&lt;&gt;"",IF($W$7:$W$165&lt;&gt;"",ROW($W$7:$W$165)-MIN(ROW($W$7:$W$165))+1,""),""),ROW()-ROW(A$167)+1))),","),"")</f>
        <v>0</v>
      </c>
      <c r="X181">
        <f t="array" ref="X181">IFERROR(CONCATENATE(TEXT(INDEX($W$7:$W$165,SMALL(IF($Z$7:$Z$165&lt;&gt;"",IF($W$7:$W$165&lt;&gt;"",ROW($W$7:$W$165)-MIN(ROW($W$7:$W$165))+1,""),""),ROW()-ROW(A$167)+1)),"##0"),","),"")</f>
        <v>0</v>
      </c>
      <c r="Y181">
        <f t="array" ref="Y181">IFERROR(CONCATENATE((INDEX($A$7:$A$165,SMALL(IF($Z$7:$Z$165&lt;&gt;"",IF($W$7:$W$165&lt;&gt;"",ROW($W$7:$W$165)-MIN(ROW($W$7:$W$165))+1,""),""),ROW()-ROW(A$167)+1))),),"")</f>
        <v>0</v>
      </c>
    </row>
    <row r="182" spans="11:25">
      <c r="K182">
        <f t="array" ref="K182">IFERROR(CONCATENATE(TEXT(INDEX($K$7:$K$165,SMALL(IF($N$7:$N$165&lt;&gt;"",IF($K$7:$K$165&lt;&gt;"",ROW($K$7:$K$165)-MIN(ROW($K$7:$K$165))+1,""),""),ROW()-ROW(A$167)+1)),"##0"),","),"")</f>
        <v>0</v>
      </c>
      <c r="L182">
        <f t="array" ref="L182">IFERROR(CONCATENATE((INDEX($N$7:$N$165,SMALL(IF($N$7:$N$165&lt;&gt;"",IF($K$7:$K$165&lt;&gt;"",ROW($K$7:$K$165)-MIN(ROW($K$7:$K$165))+1,""),""),ROW()-ROW(A$167)+1))),","),"")</f>
        <v>0</v>
      </c>
      <c r="M182">
        <f t="array" ref="M182">IFERROR(CONCATENATE((INDEX($A$7:$A$165,SMALL(IF($N$7:$N$165&lt;&gt;"",IF($K$7:$K$165&lt;&gt;"",ROW($K$7:$K$165)-MIN(ROW($K$7:$K$165))+1,""),""),ROW()-ROW(A$167)+1))),),"")</f>
        <v>0</v>
      </c>
      <c r="Q182">
        <f t="array" ref="Q182">IFERROR(CONCATENATE((INDEX($T$7:$T$165,SMALL(IF($T$7:$T$165&lt;&gt;"",IF($Q$7:$Q$165&lt;&gt;"",ROW($Q$7:$Q$165)-MIN(ROW($Q$7:$Q$165))+1,""),""),ROW()-ROW(A$167)+1)))," "),"")</f>
        <v>0</v>
      </c>
      <c r="R182">
        <f t="array" ref="R182">IFERROR(CONCATENATE(TEXT(INDEX($Q$7:$Q$165,SMALL(IF($T$7:$T$165&lt;&gt;"",IF($Q$7:$Q$165&lt;&gt;"",ROW($Q$7:$Q$165)-MIN(ROW($Q$7:$Q$165))+1,""),""),ROW()-ROW(A$167)+1)),"##0")," "),"")</f>
        <v>0</v>
      </c>
      <c r="S182">
        <f t="array" ref="S182">IFERROR(CONCATENATE((INDEX($A$7:$A$165,SMALL(IF($T$7:$T$165&lt;&gt;"",IF($Q$7:$Q$165&lt;&gt;"",ROW($Q$7:$Q$165)-MIN(ROW($Q$7:$Q$165))+1,""),""),ROW()-ROW(A$167)+1))),),"")</f>
        <v>0</v>
      </c>
      <c r="W182">
        <f t="array" ref="W182">IFERROR(CONCATENATE((INDEX($Z$7:$Z$165,SMALL(IF($Z$7:$Z$165&lt;&gt;"",IF($W$7:$W$165&lt;&gt;"",ROW($W$7:$W$165)-MIN(ROW($W$7:$W$165))+1,""),""),ROW()-ROW(A$167)+1))),","),"")</f>
        <v>0</v>
      </c>
      <c r="X182">
        <f t="array" ref="X182">IFERROR(CONCATENATE(TEXT(INDEX($W$7:$W$165,SMALL(IF($Z$7:$Z$165&lt;&gt;"",IF($W$7:$W$165&lt;&gt;"",ROW($W$7:$W$165)-MIN(ROW($W$7:$W$165))+1,""),""),ROW()-ROW(A$167)+1)),"##0"),","),"")</f>
        <v>0</v>
      </c>
      <c r="Y182">
        <f t="array" ref="Y182">IFERROR(CONCATENATE((INDEX($A$7:$A$165,SMALL(IF($Z$7:$Z$165&lt;&gt;"",IF($W$7:$W$165&lt;&gt;"",ROW($W$7:$W$165)-MIN(ROW($W$7:$W$165))+1,""),""),ROW()-ROW(A$167)+1))),),"")</f>
        <v>0</v>
      </c>
    </row>
    <row r="183" spans="11:25">
      <c r="K183">
        <f t="array" ref="K183">IFERROR(CONCATENATE(TEXT(INDEX($K$7:$K$165,SMALL(IF($N$7:$N$165&lt;&gt;"",IF($K$7:$K$165&lt;&gt;"",ROW($K$7:$K$165)-MIN(ROW($K$7:$K$165))+1,""),""),ROW()-ROW(A$167)+1)),"##0"),","),"")</f>
        <v>0</v>
      </c>
      <c r="L183">
        <f t="array" ref="L183">IFERROR(CONCATENATE((INDEX($N$7:$N$165,SMALL(IF($N$7:$N$165&lt;&gt;"",IF($K$7:$K$165&lt;&gt;"",ROW($K$7:$K$165)-MIN(ROW($K$7:$K$165))+1,""),""),ROW()-ROW(A$167)+1))),","),"")</f>
        <v>0</v>
      </c>
      <c r="M183">
        <f t="array" ref="M183">IFERROR(CONCATENATE((INDEX($A$7:$A$165,SMALL(IF($N$7:$N$165&lt;&gt;"",IF($K$7:$K$165&lt;&gt;"",ROW($K$7:$K$165)-MIN(ROW($K$7:$K$165))+1,""),""),ROW()-ROW(A$167)+1))),),"")</f>
        <v>0</v>
      </c>
      <c r="Q183">
        <f t="array" ref="Q183">IFERROR(CONCATENATE((INDEX($T$7:$T$165,SMALL(IF($T$7:$T$165&lt;&gt;"",IF($Q$7:$Q$165&lt;&gt;"",ROW($Q$7:$Q$165)-MIN(ROW($Q$7:$Q$165))+1,""),""),ROW()-ROW(A$167)+1)))," "),"")</f>
        <v>0</v>
      </c>
      <c r="R183">
        <f t="array" ref="R183">IFERROR(CONCATENATE(TEXT(INDEX($Q$7:$Q$165,SMALL(IF($T$7:$T$165&lt;&gt;"",IF($Q$7:$Q$165&lt;&gt;"",ROW($Q$7:$Q$165)-MIN(ROW($Q$7:$Q$165))+1,""),""),ROW()-ROW(A$167)+1)),"##0")," "),"")</f>
        <v>0</v>
      </c>
      <c r="S183">
        <f t="array" ref="S183">IFERROR(CONCATENATE((INDEX($A$7:$A$165,SMALL(IF($T$7:$T$165&lt;&gt;"",IF($Q$7:$Q$165&lt;&gt;"",ROW($Q$7:$Q$165)-MIN(ROW($Q$7:$Q$165))+1,""),""),ROW()-ROW(A$167)+1))),),"")</f>
        <v>0</v>
      </c>
      <c r="W183">
        <f t="array" ref="W183">IFERROR(CONCATENATE((INDEX($Z$7:$Z$165,SMALL(IF($Z$7:$Z$165&lt;&gt;"",IF($W$7:$W$165&lt;&gt;"",ROW($W$7:$W$165)-MIN(ROW($W$7:$W$165))+1,""),""),ROW()-ROW(A$167)+1))),","),"")</f>
        <v>0</v>
      </c>
      <c r="X183">
        <f t="array" ref="X183">IFERROR(CONCATENATE(TEXT(INDEX($W$7:$W$165,SMALL(IF($Z$7:$Z$165&lt;&gt;"",IF($W$7:$W$165&lt;&gt;"",ROW($W$7:$W$165)-MIN(ROW($W$7:$W$165))+1,""),""),ROW()-ROW(A$167)+1)),"##0"),","),"")</f>
        <v>0</v>
      </c>
      <c r="Y183">
        <f t="array" ref="Y183">IFERROR(CONCATENATE((INDEX($A$7:$A$165,SMALL(IF($Z$7:$Z$165&lt;&gt;"",IF($W$7:$W$165&lt;&gt;"",ROW($W$7:$W$165)-MIN(ROW($W$7:$W$165))+1,""),""),ROW()-ROW(A$167)+1))),),"")</f>
        <v>0</v>
      </c>
    </row>
    <row r="184" spans="11:25">
      <c r="K184">
        <f t="array" ref="K184">IFERROR(CONCATENATE(TEXT(INDEX($K$7:$K$165,SMALL(IF($N$7:$N$165&lt;&gt;"",IF($K$7:$K$165&lt;&gt;"",ROW($K$7:$K$165)-MIN(ROW($K$7:$K$165))+1,""),""),ROW()-ROW(A$167)+1)),"##0"),","),"")</f>
        <v>0</v>
      </c>
      <c r="L184">
        <f t="array" ref="L184">IFERROR(CONCATENATE((INDEX($N$7:$N$165,SMALL(IF($N$7:$N$165&lt;&gt;"",IF($K$7:$K$165&lt;&gt;"",ROW($K$7:$K$165)-MIN(ROW($K$7:$K$165))+1,""),""),ROW()-ROW(A$167)+1))),","),"")</f>
        <v>0</v>
      </c>
      <c r="M184">
        <f t="array" ref="M184">IFERROR(CONCATENATE((INDEX($A$7:$A$165,SMALL(IF($N$7:$N$165&lt;&gt;"",IF($K$7:$K$165&lt;&gt;"",ROW($K$7:$K$165)-MIN(ROW($K$7:$K$165))+1,""),""),ROW()-ROW(A$167)+1))),),"")</f>
        <v>0</v>
      </c>
      <c r="Q184">
        <f t="array" ref="Q184">IFERROR(CONCATENATE((INDEX($T$7:$T$165,SMALL(IF($T$7:$T$165&lt;&gt;"",IF($Q$7:$Q$165&lt;&gt;"",ROW($Q$7:$Q$165)-MIN(ROW($Q$7:$Q$165))+1,""),""),ROW()-ROW(A$167)+1)))," "),"")</f>
        <v>0</v>
      </c>
      <c r="R184">
        <f t="array" ref="R184">IFERROR(CONCATENATE(TEXT(INDEX($Q$7:$Q$165,SMALL(IF($T$7:$T$165&lt;&gt;"",IF($Q$7:$Q$165&lt;&gt;"",ROW($Q$7:$Q$165)-MIN(ROW($Q$7:$Q$165))+1,""),""),ROW()-ROW(A$167)+1)),"##0")," "),"")</f>
        <v>0</v>
      </c>
      <c r="S184">
        <f t="array" ref="S184">IFERROR(CONCATENATE((INDEX($A$7:$A$165,SMALL(IF($T$7:$T$165&lt;&gt;"",IF($Q$7:$Q$165&lt;&gt;"",ROW($Q$7:$Q$165)-MIN(ROW($Q$7:$Q$165))+1,""),""),ROW()-ROW(A$167)+1))),),"")</f>
        <v>0</v>
      </c>
      <c r="W184">
        <f t="array" ref="W184">IFERROR(CONCATENATE((INDEX($Z$7:$Z$165,SMALL(IF($Z$7:$Z$165&lt;&gt;"",IF($W$7:$W$165&lt;&gt;"",ROW($W$7:$W$165)-MIN(ROW($W$7:$W$165))+1,""),""),ROW()-ROW(A$167)+1))),","),"")</f>
        <v>0</v>
      </c>
      <c r="X184">
        <f t="array" ref="X184">IFERROR(CONCATENATE(TEXT(INDEX($W$7:$W$165,SMALL(IF($Z$7:$Z$165&lt;&gt;"",IF($W$7:$W$165&lt;&gt;"",ROW($W$7:$W$165)-MIN(ROW($W$7:$W$165))+1,""),""),ROW()-ROW(A$167)+1)),"##0"),","),"")</f>
        <v>0</v>
      </c>
      <c r="Y184">
        <f t="array" ref="Y184">IFERROR(CONCATENATE((INDEX($A$7:$A$165,SMALL(IF($Z$7:$Z$165&lt;&gt;"",IF($W$7:$W$165&lt;&gt;"",ROW($W$7:$W$165)-MIN(ROW($W$7:$W$165))+1,""),""),ROW()-ROW(A$167)+1))),),"")</f>
        <v>0</v>
      </c>
    </row>
    <row r="185" spans="11:25">
      <c r="K185">
        <f t="array" ref="K185">IFERROR(CONCATENATE(TEXT(INDEX($K$7:$K$165,SMALL(IF($N$7:$N$165&lt;&gt;"",IF($K$7:$K$165&lt;&gt;"",ROW($K$7:$K$165)-MIN(ROW($K$7:$K$165))+1,""),""),ROW()-ROW(A$167)+1)),"##0"),","),"")</f>
        <v>0</v>
      </c>
      <c r="L185">
        <f t="array" ref="L185">IFERROR(CONCATENATE((INDEX($N$7:$N$165,SMALL(IF($N$7:$N$165&lt;&gt;"",IF($K$7:$K$165&lt;&gt;"",ROW($K$7:$K$165)-MIN(ROW($K$7:$K$165))+1,""),""),ROW()-ROW(A$167)+1))),","),"")</f>
        <v>0</v>
      </c>
      <c r="M185">
        <f t="array" ref="M185">IFERROR(CONCATENATE((INDEX($A$7:$A$165,SMALL(IF($N$7:$N$165&lt;&gt;"",IF($K$7:$K$165&lt;&gt;"",ROW($K$7:$K$165)-MIN(ROW($K$7:$K$165))+1,""),""),ROW()-ROW(A$167)+1))),),"")</f>
        <v>0</v>
      </c>
      <c r="Q185">
        <f t="array" ref="Q185">IFERROR(CONCATENATE((INDEX($T$7:$T$165,SMALL(IF($T$7:$T$165&lt;&gt;"",IF($Q$7:$Q$165&lt;&gt;"",ROW($Q$7:$Q$165)-MIN(ROW($Q$7:$Q$165))+1,""),""),ROW()-ROW(A$167)+1)))," "),"")</f>
        <v>0</v>
      </c>
      <c r="R185">
        <f t="array" ref="R185">IFERROR(CONCATENATE(TEXT(INDEX($Q$7:$Q$165,SMALL(IF($T$7:$T$165&lt;&gt;"",IF($Q$7:$Q$165&lt;&gt;"",ROW($Q$7:$Q$165)-MIN(ROW($Q$7:$Q$165))+1,""),""),ROW()-ROW(A$167)+1)),"##0")," "),"")</f>
        <v>0</v>
      </c>
      <c r="S185">
        <f t="array" ref="S185">IFERROR(CONCATENATE((INDEX($A$7:$A$165,SMALL(IF($T$7:$T$165&lt;&gt;"",IF($Q$7:$Q$165&lt;&gt;"",ROW($Q$7:$Q$165)-MIN(ROW($Q$7:$Q$165))+1,""),""),ROW()-ROW(A$167)+1))),),"")</f>
        <v>0</v>
      </c>
      <c r="W185">
        <f t="array" ref="W185">IFERROR(CONCATENATE((INDEX($Z$7:$Z$165,SMALL(IF($Z$7:$Z$165&lt;&gt;"",IF($W$7:$W$165&lt;&gt;"",ROW($W$7:$W$165)-MIN(ROW($W$7:$W$165))+1,""),""),ROW()-ROW(A$167)+1))),","),"")</f>
        <v>0</v>
      </c>
      <c r="X185">
        <f t="array" ref="X185">IFERROR(CONCATENATE(TEXT(INDEX($W$7:$W$165,SMALL(IF($Z$7:$Z$165&lt;&gt;"",IF($W$7:$W$165&lt;&gt;"",ROW($W$7:$W$165)-MIN(ROW($W$7:$W$165))+1,""),""),ROW()-ROW(A$167)+1)),"##0"),","),"")</f>
        <v>0</v>
      </c>
      <c r="Y185">
        <f t="array" ref="Y185">IFERROR(CONCATENATE((INDEX($A$7:$A$165,SMALL(IF($Z$7:$Z$165&lt;&gt;"",IF($W$7:$W$165&lt;&gt;"",ROW($W$7:$W$165)-MIN(ROW($W$7:$W$165))+1,""),""),ROW()-ROW(A$167)+1))),),"")</f>
        <v>0</v>
      </c>
    </row>
    <row r="186" spans="11:25">
      <c r="K186">
        <f t="array" ref="K186">IFERROR(CONCATENATE(TEXT(INDEX($K$7:$K$165,SMALL(IF($N$7:$N$165&lt;&gt;"",IF($K$7:$K$165&lt;&gt;"",ROW($K$7:$K$165)-MIN(ROW($K$7:$K$165))+1,""),""),ROW()-ROW(A$167)+1)),"##0"),","),"")</f>
        <v>0</v>
      </c>
      <c r="L186">
        <f t="array" ref="L186">IFERROR(CONCATENATE((INDEX($N$7:$N$165,SMALL(IF($N$7:$N$165&lt;&gt;"",IF($K$7:$K$165&lt;&gt;"",ROW($K$7:$K$165)-MIN(ROW($K$7:$K$165))+1,""),""),ROW()-ROW(A$167)+1))),","),"")</f>
        <v>0</v>
      </c>
      <c r="M186">
        <f t="array" ref="M186">IFERROR(CONCATENATE((INDEX($A$7:$A$165,SMALL(IF($N$7:$N$165&lt;&gt;"",IF($K$7:$K$165&lt;&gt;"",ROW($K$7:$K$165)-MIN(ROW($K$7:$K$165))+1,""),""),ROW()-ROW(A$167)+1))),),"")</f>
        <v>0</v>
      </c>
      <c r="Q186">
        <f t="array" ref="Q186">IFERROR(CONCATENATE((INDEX($T$7:$T$165,SMALL(IF($T$7:$T$165&lt;&gt;"",IF($Q$7:$Q$165&lt;&gt;"",ROW($Q$7:$Q$165)-MIN(ROW($Q$7:$Q$165))+1,""),""),ROW()-ROW(A$167)+1)))," "),"")</f>
        <v>0</v>
      </c>
      <c r="R186">
        <f t="array" ref="R186">IFERROR(CONCATENATE(TEXT(INDEX($Q$7:$Q$165,SMALL(IF($T$7:$T$165&lt;&gt;"",IF($Q$7:$Q$165&lt;&gt;"",ROW($Q$7:$Q$165)-MIN(ROW($Q$7:$Q$165))+1,""),""),ROW()-ROW(A$167)+1)),"##0")," "),"")</f>
        <v>0</v>
      </c>
      <c r="S186">
        <f t="array" ref="S186">IFERROR(CONCATENATE((INDEX($A$7:$A$165,SMALL(IF($T$7:$T$165&lt;&gt;"",IF($Q$7:$Q$165&lt;&gt;"",ROW($Q$7:$Q$165)-MIN(ROW($Q$7:$Q$165))+1,""),""),ROW()-ROW(A$167)+1))),),"")</f>
        <v>0</v>
      </c>
      <c r="W186">
        <f t="array" ref="W186">IFERROR(CONCATENATE((INDEX($Z$7:$Z$165,SMALL(IF($Z$7:$Z$165&lt;&gt;"",IF($W$7:$W$165&lt;&gt;"",ROW($W$7:$W$165)-MIN(ROW($W$7:$W$165))+1,""),""),ROW()-ROW(A$167)+1))),","),"")</f>
        <v>0</v>
      </c>
      <c r="X186">
        <f t="array" ref="X186">IFERROR(CONCATENATE(TEXT(INDEX($W$7:$W$165,SMALL(IF($Z$7:$Z$165&lt;&gt;"",IF($W$7:$W$165&lt;&gt;"",ROW($W$7:$W$165)-MIN(ROW($W$7:$W$165))+1,""),""),ROW()-ROW(A$167)+1)),"##0"),","),"")</f>
        <v>0</v>
      </c>
      <c r="Y186">
        <f t="array" ref="Y186">IFERROR(CONCATENATE((INDEX($A$7:$A$165,SMALL(IF($Z$7:$Z$165&lt;&gt;"",IF($W$7:$W$165&lt;&gt;"",ROW($W$7:$W$165)-MIN(ROW($W$7:$W$165))+1,""),""),ROW()-ROW(A$167)+1))),),"")</f>
        <v>0</v>
      </c>
    </row>
    <row r="187" spans="11:25">
      <c r="K187">
        <f t="array" ref="K187">IFERROR(CONCATENATE(TEXT(INDEX($K$7:$K$165,SMALL(IF($N$7:$N$165&lt;&gt;"",IF($K$7:$K$165&lt;&gt;"",ROW($K$7:$K$165)-MIN(ROW($K$7:$K$165))+1,""),""),ROW()-ROW(A$167)+1)),"##0"),","),"")</f>
        <v>0</v>
      </c>
      <c r="L187">
        <f t="array" ref="L187">IFERROR(CONCATENATE((INDEX($N$7:$N$165,SMALL(IF($N$7:$N$165&lt;&gt;"",IF($K$7:$K$165&lt;&gt;"",ROW($K$7:$K$165)-MIN(ROW($K$7:$K$165))+1,""),""),ROW()-ROW(A$167)+1))),","),"")</f>
        <v>0</v>
      </c>
      <c r="M187">
        <f t="array" ref="M187">IFERROR(CONCATENATE((INDEX($A$7:$A$165,SMALL(IF($N$7:$N$165&lt;&gt;"",IF($K$7:$K$165&lt;&gt;"",ROW($K$7:$K$165)-MIN(ROW($K$7:$K$165))+1,""),""),ROW()-ROW(A$167)+1))),),"")</f>
        <v>0</v>
      </c>
      <c r="Q187">
        <f t="array" ref="Q187">IFERROR(CONCATENATE((INDEX($T$7:$T$165,SMALL(IF($T$7:$T$165&lt;&gt;"",IF($Q$7:$Q$165&lt;&gt;"",ROW($Q$7:$Q$165)-MIN(ROW($Q$7:$Q$165))+1,""),""),ROW()-ROW(A$167)+1)))," "),"")</f>
        <v>0</v>
      </c>
      <c r="R187">
        <f t="array" ref="R187">IFERROR(CONCATENATE(TEXT(INDEX($Q$7:$Q$165,SMALL(IF($T$7:$T$165&lt;&gt;"",IF($Q$7:$Q$165&lt;&gt;"",ROW($Q$7:$Q$165)-MIN(ROW($Q$7:$Q$165))+1,""),""),ROW()-ROW(A$167)+1)),"##0")," "),"")</f>
        <v>0</v>
      </c>
      <c r="S187">
        <f t="array" ref="S187">IFERROR(CONCATENATE((INDEX($A$7:$A$165,SMALL(IF($T$7:$T$165&lt;&gt;"",IF($Q$7:$Q$165&lt;&gt;"",ROW($Q$7:$Q$165)-MIN(ROW($Q$7:$Q$165))+1,""),""),ROW()-ROW(A$167)+1))),),"")</f>
        <v>0</v>
      </c>
      <c r="W187">
        <f t="array" ref="W187">IFERROR(CONCATENATE((INDEX($Z$7:$Z$165,SMALL(IF($Z$7:$Z$165&lt;&gt;"",IF($W$7:$W$165&lt;&gt;"",ROW($W$7:$W$165)-MIN(ROW($W$7:$W$165))+1,""),""),ROW()-ROW(A$167)+1))),","),"")</f>
        <v>0</v>
      </c>
      <c r="X187">
        <f t="array" ref="X187">IFERROR(CONCATENATE(TEXT(INDEX($W$7:$W$165,SMALL(IF($Z$7:$Z$165&lt;&gt;"",IF($W$7:$W$165&lt;&gt;"",ROW($W$7:$W$165)-MIN(ROW($W$7:$W$165))+1,""),""),ROW()-ROW(A$167)+1)),"##0"),","),"")</f>
        <v>0</v>
      </c>
      <c r="Y187">
        <f t="array" ref="Y187">IFERROR(CONCATENATE((INDEX($A$7:$A$165,SMALL(IF($Z$7:$Z$165&lt;&gt;"",IF($W$7:$W$165&lt;&gt;"",ROW($W$7:$W$165)-MIN(ROW($W$7:$W$165))+1,""),""),ROW()-ROW(A$167)+1))),),"")</f>
        <v>0</v>
      </c>
    </row>
    <row r="188" spans="11:25">
      <c r="K188">
        <f t="array" ref="K188">IFERROR(CONCATENATE(TEXT(INDEX($K$7:$K$165,SMALL(IF($N$7:$N$165&lt;&gt;"",IF($K$7:$K$165&lt;&gt;"",ROW($K$7:$K$165)-MIN(ROW($K$7:$K$165))+1,""),""),ROW()-ROW(A$167)+1)),"##0"),","),"")</f>
        <v>0</v>
      </c>
      <c r="L188">
        <f t="array" ref="L188">IFERROR(CONCATENATE((INDEX($N$7:$N$165,SMALL(IF($N$7:$N$165&lt;&gt;"",IF($K$7:$K$165&lt;&gt;"",ROW($K$7:$K$165)-MIN(ROW($K$7:$K$165))+1,""),""),ROW()-ROW(A$167)+1))),","),"")</f>
        <v>0</v>
      </c>
      <c r="M188">
        <f t="array" ref="M188">IFERROR(CONCATENATE((INDEX($A$7:$A$165,SMALL(IF($N$7:$N$165&lt;&gt;"",IF($K$7:$K$165&lt;&gt;"",ROW($K$7:$K$165)-MIN(ROW($K$7:$K$165))+1,""),""),ROW()-ROW(A$167)+1))),),"")</f>
        <v>0</v>
      </c>
      <c r="Q188">
        <f t="array" ref="Q188">IFERROR(CONCATENATE((INDEX($T$7:$T$165,SMALL(IF($T$7:$T$165&lt;&gt;"",IF($Q$7:$Q$165&lt;&gt;"",ROW($Q$7:$Q$165)-MIN(ROW($Q$7:$Q$165))+1,""),""),ROW()-ROW(A$167)+1)))," "),"")</f>
        <v>0</v>
      </c>
      <c r="R188">
        <f t="array" ref="R188">IFERROR(CONCATENATE(TEXT(INDEX($Q$7:$Q$165,SMALL(IF($T$7:$T$165&lt;&gt;"",IF($Q$7:$Q$165&lt;&gt;"",ROW($Q$7:$Q$165)-MIN(ROW($Q$7:$Q$165))+1,""),""),ROW()-ROW(A$167)+1)),"##0")," "),"")</f>
        <v>0</v>
      </c>
      <c r="S188">
        <f t="array" ref="S188">IFERROR(CONCATENATE((INDEX($A$7:$A$165,SMALL(IF($T$7:$T$165&lt;&gt;"",IF($Q$7:$Q$165&lt;&gt;"",ROW($Q$7:$Q$165)-MIN(ROW($Q$7:$Q$165))+1,""),""),ROW()-ROW(A$167)+1))),),"")</f>
        <v>0</v>
      </c>
      <c r="W188">
        <f t="array" ref="W188">IFERROR(CONCATENATE((INDEX($Z$7:$Z$165,SMALL(IF($Z$7:$Z$165&lt;&gt;"",IF($W$7:$W$165&lt;&gt;"",ROW($W$7:$W$165)-MIN(ROW($W$7:$W$165))+1,""),""),ROW()-ROW(A$167)+1))),","),"")</f>
        <v>0</v>
      </c>
      <c r="X188">
        <f t="array" ref="X188">IFERROR(CONCATENATE(TEXT(INDEX($W$7:$W$165,SMALL(IF($Z$7:$Z$165&lt;&gt;"",IF($W$7:$W$165&lt;&gt;"",ROW($W$7:$W$165)-MIN(ROW($W$7:$W$165))+1,""),""),ROW()-ROW(A$167)+1)),"##0"),","),"")</f>
        <v>0</v>
      </c>
      <c r="Y188">
        <f t="array" ref="Y188">IFERROR(CONCATENATE((INDEX($A$7:$A$165,SMALL(IF($Z$7:$Z$165&lt;&gt;"",IF($W$7:$W$165&lt;&gt;"",ROW($W$7:$W$165)-MIN(ROW($W$7:$W$165))+1,""),""),ROW()-ROW(A$167)+1))),),"")</f>
        <v>0</v>
      </c>
    </row>
    <row r="189" spans="11:25">
      <c r="K189">
        <f t="array" ref="K189">IFERROR(CONCATENATE(TEXT(INDEX($K$7:$K$165,SMALL(IF($N$7:$N$165&lt;&gt;"",IF($K$7:$K$165&lt;&gt;"",ROW($K$7:$K$165)-MIN(ROW($K$7:$K$165))+1,""),""),ROW()-ROW(A$167)+1)),"##0"),","),"")</f>
        <v>0</v>
      </c>
      <c r="L189">
        <f t="array" ref="L189">IFERROR(CONCATENATE((INDEX($N$7:$N$165,SMALL(IF($N$7:$N$165&lt;&gt;"",IF($K$7:$K$165&lt;&gt;"",ROW($K$7:$K$165)-MIN(ROW($K$7:$K$165))+1,""),""),ROW()-ROW(A$167)+1))),","),"")</f>
        <v>0</v>
      </c>
      <c r="M189">
        <f t="array" ref="M189">IFERROR(CONCATENATE((INDEX($A$7:$A$165,SMALL(IF($N$7:$N$165&lt;&gt;"",IF($K$7:$K$165&lt;&gt;"",ROW($K$7:$K$165)-MIN(ROW($K$7:$K$165))+1,""),""),ROW()-ROW(A$167)+1))),),"")</f>
        <v>0</v>
      </c>
      <c r="Q189">
        <f t="array" ref="Q189">IFERROR(CONCATENATE((INDEX($T$7:$T$165,SMALL(IF($T$7:$T$165&lt;&gt;"",IF($Q$7:$Q$165&lt;&gt;"",ROW($Q$7:$Q$165)-MIN(ROW($Q$7:$Q$165))+1,""),""),ROW()-ROW(A$167)+1)))," "),"")</f>
        <v>0</v>
      </c>
      <c r="R189">
        <f t="array" ref="R189">IFERROR(CONCATENATE(TEXT(INDEX($Q$7:$Q$165,SMALL(IF($T$7:$T$165&lt;&gt;"",IF($Q$7:$Q$165&lt;&gt;"",ROW($Q$7:$Q$165)-MIN(ROW($Q$7:$Q$165))+1,""),""),ROW()-ROW(A$167)+1)),"##0")," "),"")</f>
        <v>0</v>
      </c>
      <c r="S189">
        <f t="array" ref="S189">IFERROR(CONCATENATE((INDEX($A$7:$A$165,SMALL(IF($T$7:$T$165&lt;&gt;"",IF($Q$7:$Q$165&lt;&gt;"",ROW($Q$7:$Q$165)-MIN(ROW($Q$7:$Q$165))+1,""),""),ROW()-ROW(A$167)+1))),),"")</f>
        <v>0</v>
      </c>
      <c r="W189">
        <f t="array" ref="W189">IFERROR(CONCATENATE((INDEX($Z$7:$Z$165,SMALL(IF($Z$7:$Z$165&lt;&gt;"",IF($W$7:$W$165&lt;&gt;"",ROW($W$7:$W$165)-MIN(ROW($W$7:$W$165))+1,""),""),ROW()-ROW(A$167)+1))),","),"")</f>
        <v>0</v>
      </c>
      <c r="X189">
        <f t="array" ref="X189">IFERROR(CONCATENATE(TEXT(INDEX($W$7:$W$165,SMALL(IF($Z$7:$Z$165&lt;&gt;"",IF($W$7:$W$165&lt;&gt;"",ROW($W$7:$W$165)-MIN(ROW($W$7:$W$165))+1,""),""),ROW()-ROW(A$167)+1)),"##0"),","),"")</f>
        <v>0</v>
      </c>
      <c r="Y189">
        <f t="array" ref="Y189">IFERROR(CONCATENATE((INDEX($A$7:$A$165,SMALL(IF($Z$7:$Z$165&lt;&gt;"",IF($W$7:$W$165&lt;&gt;"",ROW($W$7:$W$165)-MIN(ROW($W$7:$W$165))+1,""),""),ROW()-ROW(A$167)+1))),),"")</f>
        <v>0</v>
      </c>
    </row>
    <row r="190" spans="11:25">
      <c r="K190">
        <f t="array" ref="K190">IFERROR(CONCATENATE(TEXT(INDEX($K$7:$K$165,SMALL(IF($N$7:$N$165&lt;&gt;"",IF($K$7:$K$165&lt;&gt;"",ROW($K$7:$K$165)-MIN(ROW($K$7:$K$165))+1,""),""),ROW()-ROW(A$167)+1)),"##0"),","),"")</f>
        <v>0</v>
      </c>
      <c r="L190">
        <f t="array" ref="L190">IFERROR(CONCATENATE((INDEX($N$7:$N$165,SMALL(IF($N$7:$N$165&lt;&gt;"",IF($K$7:$K$165&lt;&gt;"",ROW($K$7:$K$165)-MIN(ROW($K$7:$K$165))+1,""),""),ROW()-ROW(A$167)+1))),","),"")</f>
        <v>0</v>
      </c>
      <c r="M190">
        <f t="array" ref="M190">IFERROR(CONCATENATE((INDEX($A$7:$A$165,SMALL(IF($N$7:$N$165&lt;&gt;"",IF($K$7:$K$165&lt;&gt;"",ROW($K$7:$K$165)-MIN(ROW($K$7:$K$165))+1,""),""),ROW()-ROW(A$167)+1))),),"")</f>
        <v>0</v>
      </c>
      <c r="Q190">
        <f t="array" ref="Q190">IFERROR(CONCATENATE((INDEX($T$7:$T$165,SMALL(IF($T$7:$T$165&lt;&gt;"",IF($Q$7:$Q$165&lt;&gt;"",ROW($Q$7:$Q$165)-MIN(ROW($Q$7:$Q$165))+1,""),""),ROW()-ROW(A$167)+1)))," "),"")</f>
        <v>0</v>
      </c>
      <c r="R190">
        <f t="array" ref="R190">IFERROR(CONCATENATE(TEXT(INDEX($Q$7:$Q$165,SMALL(IF($T$7:$T$165&lt;&gt;"",IF($Q$7:$Q$165&lt;&gt;"",ROW($Q$7:$Q$165)-MIN(ROW($Q$7:$Q$165))+1,""),""),ROW()-ROW(A$167)+1)),"##0")," "),"")</f>
        <v>0</v>
      </c>
      <c r="S190">
        <f t="array" ref="S190">IFERROR(CONCATENATE((INDEX($A$7:$A$165,SMALL(IF($T$7:$T$165&lt;&gt;"",IF($Q$7:$Q$165&lt;&gt;"",ROW($Q$7:$Q$165)-MIN(ROW($Q$7:$Q$165))+1,""),""),ROW()-ROW(A$167)+1))),),"")</f>
        <v>0</v>
      </c>
      <c r="W190">
        <f t="array" ref="W190">IFERROR(CONCATENATE((INDEX($Z$7:$Z$165,SMALL(IF($Z$7:$Z$165&lt;&gt;"",IF($W$7:$W$165&lt;&gt;"",ROW($W$7:$W$165)-MIN(ROW($W$7:$W$165))+1,""),""),ROW()-ROW(A$167)+1))),","),"")</f>
        <v>0</v>
      </c>
      <c r="X190">
        <f t="array" ref="X190">IFERROR(CONCATENATE(TEXT(INDEX($W$7:$W$165,SMALL(IF($Z$7:$Z$165&lt;&gt;"",IF($W$7:$W$165&lt;&gt;"",ROW($W$7:$W$165)-MIN(ROW($W$7:$W$165))+1,""),""),ROW()-ROW(A$167)+1)),"##0"),","),"")</f>
        <v>0</v>
      </c>
      <c r="Y190">
        <f t="array" ref="Y190">IFERROR(CONCATENATE((INDEX($A$7:$A$165,SMALL(IF($Z$7:$Z$165&lt;&gt;"",IF($W$7:$W$165&lt;&gt;"",ROW($W$7:$W$165)-MIN(ROW($W$7:$W$165))+1,""),""),ROW()-ROW(A$167)+1))),),"")</f>
        <v>0</v>
      </c>
    </row>
    <row r="191" spans="11:25">
      <c r="K191">
        <f t="array" ref="K191">IFERROR(CONCATENATE(TEXT(INDEX($K$7:$K$165,SMALL(IF($N$7:$N$165&lt;&gt;"",IF($K$7:$K$165&lt;&gt;"",ROW($K$7:$K$165)-MIN(ROW($K$7:$K$165))+1,""),""),ROW()-ROW(A$167)+1)),"##0"),","),"")</f>
        <v>0</v>
      </c>
      <c r="L191">
        <f t="array" ref="L191">IFERROR(CONCATENATE((INDEX($N$7:$N$165,SMALL(IF($N$7:$N$165&lt;&gt;"",IF($K$7:$K$165&lt;&gt;"",ROW($K$7:$K$165)-MIN(ROW($K$7:$K$165))+1,""),""),ROW()-ROW(A$167)+1))),","),"")</f>
        <v>0</v>
      </c>
      <c r="M191">
        <f t="array" ref="M191">IFERROR(CONCATENATE((INDEX($A$7:$A$165,SMALL(IF($N$7:$N$165&lt;&gt;"",IF($K$7:$K$165&lt;&gt;"",ROW($K$7:$K$165)-MIN(ROW($K$7:$K$165))+1,""),""),ROW()-ROW(A$167)+1))),),"")</f>
        <v>0</v>
      </c>
      <c r="Q191">
        <f t="array" ref="Q191">IFERROR(CONCATENATE((INDEX($T$7:$T$165,SMALL(IF($T$7:$T$165&lt;&gt;"",IF($Q$7:$Q$165&lt;&gt;"",ROW($Q$7:$Q$165)-MIN(ROW($Q$7:$Q$165))+1,""),""),ROW()-ROW(A$167)+1)))," "),"")</f>
        <v>0</v>
      </c>
      <c r="R191">
        <f t="array" ref="R191">IFERROR(CONCATENATE(TEXT(INDEX($Q$7:$Q$165,SMALL(IF($T$7:$T$165&lt;&gt;"",IF($Q$7:$Q$165&lt;&gt;"",ROW($Q$7:$Q$165)-MIN(ROW($Q$7:$Q$165))+1,""),""),ROW()-ROW(A$167)+1)),"##0")," "),"")</f>
        <v>0</v>
      </c>
      <c r="S191">
        <f t="array" ref="S191">IFERROR(CONCATENATE((INDEX($A$7:$A$165,SMALL(IF($T$7:$T$165&lt;&gt;"",IF($Q$7:$Q$165&lt;&gt;"",ROW($Q$7:$Q$165)-MIN(ROW($Q$7:$Q$165))+1,""),""),ROW()-ROW(A$167)+1))),),"")</f>
        <v>0</v>
      </c>
      <c r="W191">
        <f t="array" ref="W191">IFERROR(CONCATENATE((INDEX($Z$7:$Z$165,SMALL(IF($Z$7:$Z$165&lt;&gt;"",IF($W$7:$W$165&lt;&gt;"",ROW($W$7:$W$165)-MIN(ROW($W$7:$W$165))+1,""),""),ROW()-ROW(A$167)+1))),","),"")</f>
        <v>0</v>
      </c>
      <c r="X191">
        <f t="array" ref="X191">IFERROR(CONCATENATE(TEXT(INDEX($W$7:$W$165,SMALL(IF($Z$7:$Z$165&lt;&gt;"",IF($W$7:$W$165&lt;&gt;"",ROW($W$7:$W$165)-MIN(ROW($W$7:$W$165))+1,""),""),ROW()-ROW(A$167)+1)),"##0"),","),"")</f>
        <v>0</v>
      </c>
      <c r="Y191">
        <f t="array" ref="Y191">IFERROR(CONCATENATE((INDEX($A$7:$A$165,SMALL(IF($Z$7:$Z$165&lt;&gt;"",IF($W$7:$W$165&lt;&gt;"",ROW($W$7:$W$165)-MIN(ROW($W$7:$W$165))+1,""),""),ROW()-ROW(A$167)+1))),),"")</f>
        <v>0</v>
      </c>
    </row>
    <row r="192" spans="11:25">
      <c r="K192">
        <f t="array" ref="K192">IFERROR(CONCATENATE(TEXT(INDEX($K$7:$K$165,SMALL(IF($N$7:$N$165&lt;&gt;"",IF($K$7:$K$165&lt;&gt;"",ROW($K$7:$K$165)-MIN(ROW($K$7:$K$165))+1,""),""),ROW()-ROW(A$167)+1)),"##0"),","),"")</f>
        <v>0</v>
      </c>
      <c r="L192">
        <f t="array" ref="L192">IFERROR(CONCATENATE((INDEX($N$7:$N$165,SMALL(IF($N$7:$N$165&lt;&gt;"",IF($K$7:$K$165&lt;&gt;"",ROW($K$7:$K$165)-MIN(ROW($K$7:$K$165))+1,""),""),ROW()-ROW(A$167)+1))),","),"")</f>
        <v>0</v>
      </c>
      <c r="M192">
        <f t="array" ref="M192">IFERROR(CONCATENATE((INDEX($A$7:$A$165,SMALL(IF($N$7:$N$165&lt;&gt;"",IF($K$7:$K$165&lt;&gt;"",ROW($K$7:$K$165)-MIN(ROW($K$7:$K$165))+1,""),""),ROW()-ROW(A$167)+1))),),"")</f>
        <v>0</v>
      </c>
      <c r="Q192">
        <f t="array" ref="Q192">IFERROR(CONCATENATE((INDEX($T$7:$T$165,SMALL(IF($T$7:$T$165&lt;&gt;"",IF($Q$7:$Q$165&lt;&gt;"",ROW($Q$7:$Q$165)-MIN(ROW($Q$7:$Q$165))+1,""),""),ROW()-ROW(A$167)+1)))," "),"")</f>
        <v>0</v>
      </c>
      <c r="R192">
        <f t="array" ref="R192">IFERROR(CONCATENATE(TEXT(INDEX($Q$7:$Q$165,SMALL(IF($T$7:$T$165&lt;&gt;"",IF($Q$7:$Q$165&lt;&gt;"",ROW($Q$7:$Q$165)-MIN(ROW($Q$7:$Q$165))+1,""),""),ROW()-ROW(A$167)+1)),"##0")," "),"")</f>
        <v>0</v>
      </c>
      <c r="S192">
        <f t="array" ref="S192">IFERROR(CONCATENATE((INDEX($A$7:$A$165,SMALL(IF($T$7:$T$165&lt;&gt;"",IF($Q$7:$Q$165&lt;&gt;"",ROW($Q$7:$Q$165)-MIN(ROW($Q$7:$Q$165))+1,""),""),ROW()-ROW(A$167)+1))),),"")</f>
        <v>0</v>
      </c>
      <c r="W192">
        <f t="array" ref="W192">IFERROR(CONCATENATE((INDEX($Z$7:$Z$165,SMALL(IF($Z$7:$Z$165&lt;&gt;"",IF($W$7:$W$165&lt;&gt;"",ROW($W$7:$W$165)-MIN(ROW($W$7:$W$165))+1,""),""),ROW()-ROW(A$167)+1))),","),"")</f>
        <v>0</v>
      </c>
      <c r="X192">
        <f t="array" ref="X192">IFERROR(CONCATENATE(TEXT(INDEX($W$7:$W$165,SMALL(IF($Z$7:$Z$165&lt;&gt;"",IF($W$7:$W$165&lt;&gt;"",ROW($W$7:$W$165)-MIN(ROW($W$7:$W$165))+1,""),""),ROW()-ROW(A$167)+1)),"##0"),","),"")</f>
        <v>0</v>
      </c>
      <c r="Y192">
        <f t="array" ref="Y192">IFERROR(CONCATENATE((INDEX($A$7:$A$165,SMALL(IF($Z$7:$Z$165&lt;&gt;"",IF($W$7:$W$165&lt;&gt;"",ROW($W$7:$W$165)-MIN(ROW($W$7:$W$165))+1,""),""),ROW()-ROW(A$167)+1))),),"")</f>
        <v>0</v>
      </c>
    </row>
    <row r="193" spans="11:25">
      <c r="K193">
        <f t="array" ref="K193">IFERROR(CONCATENATE(TEXT(INDEX($K$7:$K$165,SMALL(IF($N$7:$N$165&lt;&gt;"",IF($K$7:$K$165&lt;&gt;"",ROW($K$7:$K$165)-MIN(ROW($K$7:$K$165))+1,""),""),ROW()-ROW(A$167)+1)),"##0"),","),"")</f>
        <v>0</v>
      </c>
      <c r="L193">
        <f t="array" ref="L193">IFERROR(CONCATENATE((INDEX($N$7:$N$165,SMALL(IF($N$7:$N$165&lt;&gt;"",IF($K$7:$K$165&lt;&gt;"",ROW($K$7:$K$165)-MIN(ROW($K$7:$K$165))+1,""),""),ROW()-ROW(A$167)+1))),","),"")</f>
        <v>0</v>
      </c>
      <c r="M193">
        <f t="array" ref="M193">IFERROR(CONCATENATE((INDEX($A$7:$A$165,SMALL(IF($N$7:$N$165&lt;&gt;"",IF($K$7:$K$165&lt;&gt;"",ROW($K$7:$K$165)-MIN(ROW($K$7:$K$165))+1,""),""),ROW()-ROW(A$167)+1))),),"")</f>
        <v>0</v>
      </c>
      <c r="Q193">
        <f t="array" ref="Q193">IFERROR(CONCATENATE((INDEX($T$7:$T$165,SMALL(IF($T$7:$T$165&lt;&gt;"",IF($Q$7:$Q$165&lt;&gt;"",ROW($Q$7:$Q$165)-MIN(ROW($Q$7:$Q$165))+1,""),""),ROW()-ROW(A$167)+1)))," "),"")</f>
        <v>0</v>
      </c>
      <c r="R193">
        <f t="array" ref="R193">IFERROR(CONCATENATE(TEXT(INDEX($Q$7:$Q$165,SMALL(IF($T$7:$T$165&lt;&gt;"",IF($Q$7:$Q$165&lt;&gt;"",ROW($Q$7:$Q$165)-MIN(ROW($Q$7:$Q$165))+1,""),""),ROW()-ROW(A$167)+1)),"##0")," "),"")</f>
        <v>0</v>
      </c>
      <c r="S193">
        <f t="array" ref="S193">IFERROR(CONCATENATE((INDEX($A$7:$A$165,SMALL(IF($T$7:$T$165&lt;&gt;"",IF($Q$7:$Q$165&lt;&gt;"",ROW($Q$7:$Q$165)-MIN(ROW($Q$7:$Q$165))+1,""),""),ROW()-ROW(A$167)+1))),),"")</f>
        <v>0</v>
      </c>
      <c r="W193">
        <f t="array" ref="W193">IFERROR(CONCATENATE((INDEX($Z$7:$Z$165,SMALL(IF($Z$7:$Z$165&lt;&gt;"",IF($W$7:$W$165&lt;&gt;"",ROW($W$7:$W$165)-MIN(ROW($W$7:$W$165))+1,""),""),ROW()-ROW(A$167)+1))),","),"")</f>
        <v>0</v>
      </c>
      <c r="X193">
        <f t="array" ref="X193">IFERROR(CONCATENATE(TEXT(INDEX($W$7:$W$165,SMALL(IF($Z$7:$Z$165&lt;&gt;"",IF($W$7:$W$165&lt;&gt;"",ROW($W$7:$W$165)-MIN(ROW($W$7:$W$165))+1,""),""),ROW()-ROW(A$167)+1)),"##0"),","),"")</f>
        <v>0</v>
      </c>
      <c r="Y193">
        <f t="array" ref="Y193">IFERROR(CONCATENATE((INDEX($A$7:$A$165,SMALL(IF($Z$7:$Z$165&lt;&gt;"",IF($W$7:$W$165&lt;&gt;"",ROW($W$7:$W$165)-MIN(ROW($W$7:$W$165))+1,""),""),ROW()-ROW(A$167)+1))),),"")</f>
        <v>0</v>
      </c>
    </row>
    <row r="194" spans="11:25">
      <c r="K194">
        <f t="array" ref="K194">IFERROR(CONCATENATE(TEXT(INDEX($K$7:$K$165,SMALL(IF($N$7:$N$165&lt;&gt;"",IF($K$7:$K$165&lt;&gt;"",ROW($K$7:$K$165)-MIN(ROW($K$7:$K$165))+1,""),""),ROW()-ROW(A$167)+1)),"##0"),","),"")</f>
        <v>0</v>
      </c>
      <c r="L194">
        <f t="array" ref="L194">IFERROR(CONCATENATE((INDEX($N$7:$N$165,SMALL(IF($N$7:$N$165&lt;&gt;"",IF($K$7:$K$165&lt;&gt;"",ROW($K$7:$K$165)-MIN(ROW($K$7:$K$165))+1,""),""),ROW()-ROW(A$167)+1))),","),"")</f>
        <v>0</v>
      </c>
      <c r="M194">
        <f t="array" ref="M194">IFERROR(CONCATENATE((INDEX($A$7:$A$165,SMALL(IF($N$7:$N$165&lt;&gt;"",IF($K$7:$K$165&lt;&gt;"",ROW($K$7:$K$165)-MIN(ROW($K$7:$K$165))+1,""),""),ROW()-ROW(A$167)+1))),),"")</f>
        <v>0</v>
      </c>
      <c r="Q194">
        <f t="array" ref="Q194">IFERROR(CONCATENATE((INDEX($T$7:$T$165,SMALL(IF($T$7:$T$165&lt;&gt;"",IF($Q$7:$Q$165&lt;&gt;"",ROW($Q$7:$Q$165)-MIN(ROW($Q$7:$Q$165))+1,""),""),ROW()-ROW(A$167)+1)))," "),"")</f>
        <v>0</v>
      </c>
      <c r="R194">
        <f t="array" ref="R194">IFERROR(CONCATENATE(TEXT(INDEX($Q$7:$Q$165,SMALL(IF($T$7:$T$165&lt;&gt;"",IF($Q$7:$Q$165&lt;&gt;"",ROW($Q$7:$Q$165)-MIN(ROW($Q$7:$Q$165))+1,""),""),ROW()-ROW(A$167)+1)),"##0")," "),"")</f>
        <v>0</v>
      </c>
      <c r="S194">
        <f t="array" ref="S194">IFERROR(CONCATENATE((INDEX($A$7:$A$165,SMALL(IF($T$7:$T$165&lt;&gt;"",IF($Q$7:$Q$165&lt;&gt;"",ROW($Q$7:$Q$165)-MIN(ROW($Q$7:$Q$165))+1,""),""),ROW()-ROW(A$167)+1))),),"")</f>
        <v>0</v>
      </c>
      <c r="W194">
        <f t="array" ref="W194">IFERROR(CONCATENATE((INDEX($Z$7:$Z$165,SMALL(IF($Z$7:$Z$165&lt;&gt;"",IF($W$7:$W$165&lt;&gt;"",ROW($W$7:$W$165)-MIN(ROW($W$7:$W$165))+1,""),""),ROW()-ROW(A$167)+1))),","),"")</f>
        <v>0</v>
      </c>
      <c r="X194">
        <f t="array" ref="X194">IFERROR(CONCATENATE(TEXT(INDEX($W$7:$W$165,SMALL(IF($Z$7:$Z$165&lt;&gt;"",IF($W$7:$W$165&lt;&gt;"",ROW($W$7:$W$165)-MIN(ROW($W$7:$W$165))+1,""),""),ROW()-ROW(A$167)+1)),"##0"),","),"")</f>
        <v>0</v>
      </c>
      <c r="Y194">
        <f t="array" ref="Y194">IFERROR(CONCATENATE((INDEX($A$7:$A$165,SMALL(IF($Z$7:$Z$165&lt;&gt;"",IF($W$7:$W$165&lt;&gt;"",ROW($W$7:$W$165)-MIN(ROW($W$7:$W$165))+1,""),""),ROW()-ROW(A$167)+1))),),"")</f>
        <v>0</v>
      </c>
    </row>
    <row r="195" spans="11:25">
      <c r="K195">
        <f t="array" ref="K195">IFERROR(CONCATENATE(TEXT(INDEX($K$7:$K$165,SMALL(IF($N$7:$N$165&lt;&gt;"",IF($K$7:$K$165&lt;&gt;"",ROW($K$7:$K$165)-MIN(ROW($K$7:$K$165))+1,""),""),ROW()-ROW(A$167)+1)),"##0"),","),"")</f>
        <v>0</v>
      </c>
      <c r="L195">
        <f t="array" ref="L195">IFERROR(CONCATENATE((INDEX($N$7:$N$165,SMALL(IF($N$7:$N$165&lt;&gt;"",IF($K$7:$K$165&lt;&gt;"",ROW($K$7:$K$165)-MIN(ROW($K$7:$K$165))+1,""),""),ROW()-ROW(A$167)+1))),","),"")</f>
        <v>0</v>
      </c>
      <c r="M195">
        <f t="array" ref="M195">IFERROR(CONCATENATE((INDEX($A$7:$A$165,SMALL(IF($N$7:$N$165&lt;&gt;"",IF($K$7:$K$165&lt;&gt;"",ROW($K$7:$K$165)-MIN(ROW($K$7:$K$165))+1,""),""),ROW()-ROW(A$167)+1))),),"")</f>
        <v>0</v>
      </c>
      <c r="Q195">
        <f t="array" ref="Q195">IFERROR(CONCATENATE((INDEX($T$7:$T$165,SMALL(IF($T$7:$T$165&lt;&gt;"",IF($Q$7:$Q$165&lt;&gt;"",ROW($Q$7:$Q$165)-MIN(ROW($Q$7:$Q$165))+1,""),""),ROW()-ROW(A$167)+1)))," "),"")</f>
        <v>0</v>
      </c>
      <c r="R195">
        <f t="array" ref="R195">IFERROR(CONCATENATE(TEXT(INDEX($Q$7:$Q$165,SMALL(IF($T$7:$T$165&lt;&gt;"",IF($Q$7:$Q$165&lt;&gt;"",ROW($Q$7:$Q$165)-MIN(ROW($Q$7:$Q$165))+1,""),""),ROW()-ROW(A$167)+1)),"##0")," "),"")</f>
        <v>0</v>
      </c>
      <c r="S195">
        <f t="array" ref="S195">IFERROR(CONCATENATE((INDEX($A$7:$A$165,SMALL(IF($T$7:$T$165&lt;&gt;"",IF($Q$7:$Q$165&lt;&gt;"",ROW($Q$7:$Q$165)-MIN(ROW($Q$7:$Q$165))+1,""),""),ROW()-ROW(A$167)+1))),),"")</f>
        <v>0</v>
      </c>
      <c r="W195">
        <f t="array" ref="W195">IFERROR(CONCATENATE((INDEX($Z$7:$Z$165,SMALL(IF($Z$7:$Z$165&lt;&gt;"",IF($W$7:$W$165&lt;&gt;"",ROW($W$7:$W$165)-MIN(ROW($W$7:$W$165))+1,""),""),ROW()-ROW(A$167)+1))),","),"")</f>
        <v>0</v>
      </c>
      <c r="X195">
        <f t="array" ref="X195">IFERROR(CONCATENATE(TEXT(INDEX($W$7:$W$165,SMALL(IF($Z$7:$Z$165&lt;&gt;"",IF($W$7:$W$165&lt;&gt;"",ROW($W$7:$W$165)-MIN(ROW($W$7:$W$165))+1,""),""),ROW()-ROW(A$167)+1)),"##0"),","),"")</f>
        <v>0</v>
      </c>
      <c r="Y195">
        <f t="array" ref="Y195">IFERROR(CONCATENATE((INDEX($A$7:$A$165,SMALL(IF($Z$7:$Z$165&lt;&gt;"",IF($W$7:$W$165&lt;&gt;"",ROW($W$7:$W$165)-MIN(ROW($W$7:$W$165))+1,""),""),ROW()-ROW(A$167)+1))),),"")</f>
        <v>0</v>
      </c>
    </row>
    <row r="196" spans="11:25">
      <c r="K196">
        <f t="array" ref="K196">IFERROR(CONCATENATE(TEXT(INDEX($K$7:$K$165,SMALL(IF($N$7:$N$165&lt;&gt;"",IF($K$7:$K$165&lt;&gt;"",ROW($K$7:$K$165)-MIN(ROW($K$7:$K$165))+1,""),""),ROW()-ROW(A$167)+1)),"##0"),","),"")</f>
        <v>0</v>
      </c>
      <c r="L196">
        <f t="array" ref="L196">IFERROR(CONCATENATE((INDEX($N$7:$N$165,SMALL(IF($N$7:$N$165&lt;&gt;"",IF($K$7:$K$165&lt;&gt;"",ROW($K$7:$K$165)-MIN(ROW($K$7:$K$165))+1,""),""),ROW()-ROW(A$167)+1))),","),"")</f>
        <v>0</v>
      </c>
      <c r="M196">
        <f t="array" ref="M196">IFERROR(CONCATENATE((INDEX($A$7:$A$165,SMALL(IF($N$7:$N$165&lt;&gt;"",IF($K$7:$K$165&lt;&gt;"",ROW($K$7:$K$165)-MIN(ROW($K$7:$K$165))+1,""),""),ROW()-ROW(A$167)+1))),),"")</f>
        <v>0</v>
      </c>
      <c r="Q196">
        <f t="array" ref="Q196">IFERROR(CONCATENATE((INDEX($T$7:$T$165,SMALL(IF($T$7:$T$165&lt;&gt;"",IF($Q$7:$Q$165&lt;&gt;"",ROW($Q$7:$Q$165)-MIN(ROW($Q$7:$Q$165))+1,""),""),ROW()-ROW(A$167)+1)))," "),"")</f>
        <v>0</v>
      </c>
      <c r="R196">
        <f t="array" ref="R196">IFERROR(CONCATENATE(TEXT(INDEX($Q$7:$Q$165,SMALL(IF($T$7:$T$165&lt;&gt;"",IF($Q$7:$Q$165&lt;&gt;"",ROW($Q$7:$Q$165)-MIN(ROW($Q$7:$Q$165))+1,""),""),ROW()-ROW(A$167)+1)),"##0")," "),"")</f>
        <v>0</v>
      </c>
      <c r="S196">
        <f t="array" ref="S196">IFERROR(CONCATENATE((INDEX($A$7:$A$165,SMALL(IF($T$7:$T$165&lt;&gt;"",IF($Q$7:$Q$165&lt;&gt;"",ROW($Q$7:$Q$165)-MIN(ROW($Q$7:$Q$165))+1,""),""),ROW()-ROW(A$167)+1))),),"")</f>
        <v>0</v>
      </c>
      <c r="W196">
        <f t="array" ref="W196">IFERROR(CONCATENATE((INDEX($Z$7:$Z$165,SMALL(IF($Z$7:$Z$165&lt;&gt;"",IF($W$7:$W$165&lt;&gt;"",ROW($W$7:$W$165)-MIN(ROW($W$7:$W$165))+1,""),""),ROW()-ROW(A$167)+1))),","),"")</f>
        <v>0</v>
      </c>
      <c r="X196">
        <f t="array" ref="X196">IFERROR(CONCATENATE(TEXT(INDEX($W$7:$W$165,SMALL(IF($Z$7:$Z$165&lt;&gt;"",IF($W$7:$W$165&lt;&gt;"",ROW($W$7:$W$165)-MIN(ROW($W$7:$W$165))+1,""),""),ROW()-ROW(A$167)+1)),"##0"),","),"")</f>
        <v>0</v>
      </c>
      <c r="Y196">
        <f t="array" ref="Y196">IFERROR(CONCATENATE((INDEX($A$7:$A$165,SMALL(IF($Z$7:$Z$165&lt;&gt;"",IF($W$7:$W$165&lt;&gt;"",ROW($W$7:$W$165)-MIN(ROW($W$7:$W$165))+1,""),""),ROW()-ROW(A$167)+1))),),"")</f>
        <v>0</v>
      </c>
    </row>
    <row r="197" spans="11:25">
      <c r="K197">
        <f t="array" ref="K197">IFERROR(CONCATENATE(TEXT(INDEX($K$7:$K$165,SMALL(IF($N$7:$N$165&lt;&gt;"",IF($K$7:$K$165&lt;&gt;"",ROW($K$7:$K$165)-MIN(ROW($K$7:$K$165))+1,""),""),ROW()-ROW(A$167)+1)),"##0"),","),"")</f>
        <v>0</v>
      </c>
      <c r="L197">
        <f t="array" ref="L197">IFERROR(CONCATENATE((INDEX($N$7:$N$165,SMALL(IF($N$7:$N$165&lt;&gt;"",IF($K$7:$K$165&lt;&gt;"",ROW($K$7:$K$165)-MIN(ROW($K$7:$K$165))+1,""),""),ROW()-ROW(A$167)+1))),","),"")</f>
        <v>0</v>
      </c>
      <c r="M197">
        <f t="array" ref="M197">IFERROR(CONCATENATE((INDEX($A$7:$A$165,SMALL(IF($N$7:$N$165&lt;&gt;"",IF($K$7:$K$165&lt;&gt;"",ROW($K$7:$K$165)-MIN(ROW($K$7:$K$165))+1,""),""),ROW()-ROW(A$167)+1))),),"")</f>
        <v>0</v>
      </c>
      <c r="Q197">
        <f t="array" ref="Q197">IFERROR(CONCATENATE((INDEX($T$7:$T$165,SMALL(IF($T$7:$T$165&lt;&gt;"",IF($Q$7:$Q$165&lt;&gt;"",ROW($Q$7:$Q$165)-MIN(ROW($Q$7:$Q$165))+1,""),""),ROW()-ROW(A$167)+1)))," "),"")</f>
        <v>0</v>
      </c>
      <c r="R197">
        <f t="array" ref="R197">IFERROR(CONCATENATE(TEXT(INDEX($Q$7:$Q$165,SMALL(IF($T$7:$T$165&lt;&gt;"",IF($Q$7:$Q$165&lt;&gt;"",ROW($Q$7:$Q$165)-MIN(ROW($Q$7:$Q$165))+1,""),""),ROW()-ROW(A$167)+1)),"##0")," "),"")</f>
        <v>0</v>
      </c>
      <c r="S197">
        <f t="array" ref="S197">IFERROR(CONCATENATE((INDEX($A$7:$A$165,SMALL(IF($T$7:$T$165&lt;&gt;"",IF($Q$7:$Q$165&lt;&gt;"",ROW($Q$7:$Q$165)-MIN(ROW($Q$7:$Q$165))+1,""),""),ROW()-ROW(A$167)+1))),),"")</f>
        <v>0</v>
      </c>
      <c r="W197">
        <f t="array" ref="W197">IFERROR(CONCATENATE((INDEX($Z$7:$Z$165,SMALL(IF($Z$7:$Z$165&lt;&gt;"",IF($W$7:$W$165&lt;&gt;"",ROW($W$7:$W$165)-MIN(ROW($W$7:$W$165))+1,""),""),ROW()-ROW(A$167)+1))),","),"")</f>
        <v>0</v>
      </c>
      <c r="X197">
        <f t="array" ref="X197">IFERROR(CONCATENATE(TEXT(INDEX($W$7:$W$165,SMALL(IF($Z$7:$Z$165&lt;&gt;"",IF($W$7:$W$165&lt;&gt;"",ROW($W$7:$W$165)-MIN(ROW($W$7:$W$165))+1,""),""),ROW()-ROW(A$167)+1)),"##0"),","),"")</f>
        <v>0</v>
      </c>
      <c r="Y197">
        <f t="array" ref="Y197">IFERROR(CONCATENATE((INDEX($A$7:$A$165,SMALL(IF($Z$7:$Z$165&lt;&gt;"",IF($W$7:$W$165&lt;&gt;"",ROW($W$7:$W$165)-MIN(ROW($W$7:$W$165))+1,""),""),ROW()-ROW(A$167)+1))),),"")</f>
        <v>0</v>
      </c>
    </row>
    <row r="198" spans="11:25">
      <c r="K198">
        <f t="array" ref="K198">IFERROR(CONCATENATE(TEXT(INDEX($K$7:$K$165,SMALL(IF($N$7:$N$165&lt;&gt;"",IF($K$7:$K$165&lt;&gt;"",ROW($K$7:$K$165)-MIN(ROW($K$7:$K$165))+1,""),""),ROW()-ROW(A$167)+1)),"##0"),","),"")</f>
        <v>0</v>
      </c>
      <c r="L198">
        <f t="array" ref="L198">IFERROR(CONCATENATE((INDEX($N$7:$N$165,SMALL(IF($N$7:$N$165&lt;&gt;"",IF($K$7:$K$165&lt;&gt;"",ROW($K$7:$K$165)-MIN(ROW($K$7:$K$165))+1,""),""),ROW()-ROW(A$167)+1))),","),"")</f>
        <v>0</v>
      </c>
      <c r="M198">
        <f t="array" ref="M198">IFERROR(CONCATENATE((INDEX($A$7:$A$165,SMALL(IF($N$7:$N$165&lt;&gt;"",IF($K$7:$K$165&lt;&gt;"",ROW($K$7:$K$165)-MIN(ROW($K$7:$K$165))+1,""),""),ROW()-ROW(A$167)+1))),),"")</f>
        <v>0</v>
      </c>
      <c r="Q198">
        <f t="array" ref="Q198">IFERROR(CONCATENATE((INDEX($T$7:$T$165,SMALL(IF($T$7:$T$165&lt;&gt;"",IF($Q$7:$Q$165&lt;&gt;"",ROW($Q$7:$Q$165)-MIN(ROW($Q$7:$Q$165))+1,""),""),ROW()-ROW(A$167)+1)))," "),"")</f>
        <v>0</v>
      </c>
      <c r="R198">
        <f t="array" ref="R198">IFERROR(CONCATENATE(TEXT(INDEX($Q$7:$Q$165,SMALL(IF($T$7:$T$165&lt;&gt;"",IF($Q$7:$Q$165&lt;&gt;"",ROW($Q$7:$Q$165)-MIN(ROW($Q$7:$Q$165))+1,""),""),ROW()-ROW(A$167)+1)),"##0")," "),"")</f>
        <v>0</v>
      </c>
      <c r="S198">
        <f t="array" ref="S198">IFERROR(CONCATENATE((INDEX($A$7:$A$165,SMALL(IF($T$7:$T$165&lt;&gt;"",IF($Q$7:$Q$165&lt;&gt;"",ROW($Q$7:$Q$165)-MIN(ROW($Q$7:$Q$165))+1,""),""),ROW()-ROW(A$167)+1))),),"")</f>
        <v>0</v>
      </c>
      <c r="W198">
        <f t="array" ref="W198">IFERROR(CONCATENATE((INDEX($Z$7:$Z$165,SMALL(IF($Z$7:$Z$165&lt;&gt;"",IF($W$7:$W$165&lt;&gt;"",ROW($W$7:$W$165)-MIN(ROW($W$7:$W$165))+1,""),""),ROW()-ROW(A$167)+1))),","),"")</f>
        <v>0</v>
      </c>
      <c r="X198">
        <f t="array" ref="X198">IFERROR(CONCATENATE(TEXT(INDEX($W$7:$W$165,SMALL(IF($Z$7:$Z$165&lt;&gt;"",IF($W$7:$W$165&lt;&gt;"",ROW($W$7:$W$165)-MIN(ROW($W$7:$W$165))+1,""),""),ROW()-ROW(A$167)+1)),"##0"),","),"")</f>
        <v>0</v>
      </c>
      <c r="Y198">
        <f t="array" ref="Y198">IFERROR(CONCATENATE((INDEX($A$7:$A$165,SMALL(IF($Z$7:$Z$165&lt;&gt;"",IF($W$7:$W$165&lt;&gt;"",ROW($W$7:$W$165)-MIN(ROW($W$7:$W$165))+1,""),""),ROW()-ROW(A$167)+1))),),"")</f>
        <v>0</v>
      </c>
    </row>
    <row r="199" spans="11:25">
      <c r="K199">
        <f t="array" ref="K199">IFERROR(CONCATENATE(TEXT(INDEX($K$7:$K$165,SMALL(IF($N$7:$N$165&lt;&gt;"",IF($K$7:$K$165&lt;&gt;"",ROW($K$7:$K$165)-MIN(ROW($K$7:$K$165))+1,""),""),ROW()-ROW(A$167)+1)),"##0"),","),"")</f>
        <v>0</v>
      </c>
      <c r="L199">
        <f t="array" ref="L199">IFERROR(CONCATENATE((INDEX($N$7:$N$165,SMALL(IF($N$7:$N$165&lt;&gt;"",IF($K$7:$K$165&lt;&gt;"",ROW($K$7:$K$165)-MIN(ROW($K$7:$K$165))+1,""),""),ROW()-ROW(A$167)+1))),","),"")</f>
        <v>0</v>
      </c>
      <c r="M199">
        <f t="array" ref="M199">IFERROR(CONCATENATE((INDEX($A$7:$A$165,SMALL(IF($N$7:$N$165&lt;&gt;"",IF($K$7:$K$165&lt;&gt;"",ROW($K$7:$K$165)-MIN(ROW($K$7:$K$165))+1,""),""),ROW()-ROW(A$167)+1))),),"")</f>
        <v>0</v>
      </c>
      <c r="Q199">
        <f t="array" ref="Q199">IFERROR(CONCATENATE((INDEX($T$7:$T$165,SMALL(IF($T$7:$T$165&lt;&gt;"",IF($Q$7:$Q$165&lt;&gt;"",ROW($Q$7:$Q$165)-MIN(ROW($Q$7:$Q$165))+1,""),""),ROW()-ROW(A$167)+1)))," "),"")</f>
        <v>0</v>
      </c>
      <c r="R199">
        <f t="array" ref="R199">IFERROR(CONCATENATE(TEXT(INDEX($Q$7:$Q$165,SMALL(IF($T$7:$T$165&lt;&gt;"",IF($Q$7:$Q$165&lt;&gt;"",ROW($Q$7:$Q$165)-MIN(ROW($Q$7:$Q$165))+1,""),""),ROW()-ROW(A$167)+1)),"##0")," "),"")</f>
        <v>0</v>
      </c>
      <c r="S199">
        <f t="array" ref="S199">IFERROR(CONCATENATE((INDEX($A$7:$A$165,SMALL(IF($T$7:$T$165&lt;&gt;"",IF($Q$7:$Q$165&lt;&gt;"",ROW($Q$7:$Q$165)-MIN(ROW($Q$7:$Q$165))+1,""),""),ROW()-ROW(A$167)+1))),),"")</f>
        <v>0</v>
      </c>
      <c r="W199">
        <f t="array" ref="W199">IFERROR(CONCATENATE((INDEX($Z$7:$Z$165,SMALL(IF($Z$7:$Z$165&lt;&gt;"",IF($W$7:$W$165&lt;&gt;"",ROW($W$7:$W$165)-MIN(ROW($W$7:$W$165))+1,""),""),ROW()-ROW(A$167)+1))),","),"")</f>
        <v>0</v>
      </c>
      <c r="X199">
        <f t="array" ref="X199">IFERROR(CONCATENATE(TEXT(INDEX($W$7:$W$165,SMALL(IF($Z$7:$Z$165&lt;&gt;"",IF($W$7:$W$165&lt;&gt;"",ROW($W$7:$W$165)-MIN(ROW($W$7:$W$165))+1,""),""),ROW()-ROW(A$167)+1)),"##0"),","),"")</f>
        <v>0</v>
      </c>
      <c r="Y199">
        <f t="array" ref="Y199">IFERROR(CONCATENATE((INDEX($A$7:$A$165,SMALL(IF($Z$7:$Z$165&lt;&gt;"",IF($W$7:$W$165&lt;&gt;"",ROW($W$7:$W$165)-MIN(ROW($W$7:$W$165))+1,""),""),ROW()-ROW(A$167)+1))),),"")</f>
        <v>0</v>
      </c>
    </row>
    <row r="200" spans="11:25">
      <c r="K200">
        <f t="array" ref="K200">IFERROR(CONCATENATE(TEXT(INDEX($K$7:$K$165,SMALL(IF($N$7:$N$165&lt;&gt;"",IF($K$7:$K$165&lt;&gt;"",ROW($K$7:$K$165)-MIN(ROW($K$7:$K$165))+1,""),""),ROW()-ROW(A$167)+1)),"##0"),","),"")</f>
        <v>0</v>
      </c>
      <c r="L200">
        <f t="array" ref="L200">IFERROR(CONCATENATE((INDEX($N$7:$N$165,SMALL(IF($N$7:$N$165&lt;&gt;"",IF($K$7:$K$165&lt;&gt;"",ROW($K$7:$K$165)-MIN(ROW($K$7:$K$165))+1,""),""),ROW()-ROW(A$167)+1))),","),"")</f>
        <v>0</v>
      </c>
      <c r="M200">
        <f t="array" ref="M200">IFERROR(CONCATENATE((INDEX($A$7:$A$165,SMALL(IF($N$7:$N$165&lt;&gt;"",IF($K$7:$K$165&lt;&gt;"",ROW($K$7:$K$165)-MIN(ROW($K$7:$K$165))+1,""),""),ROW()-ROW(A$167)+1))),),"")</f>
        <v>0</v>
      </c>
      <c r="Q200">
        <f t="array" ref="Q200">IFERROR(CONCATENATE((INDEX($T$7:$T$165,SMALL(IF($T$7:$T$165&lt;&gt;"",IF($Q$7:$Q$165&lt;&gt;"",ROW($Q$7:$Q$165)-MIN(ROW($Q$7:$Q$165))+1,""),""),ROW()-ROW(A$167)+1)))," "),"")</f>
        <v>0</v>
      </c>
      <c r="R200">
        <f t="array" ref="R200">IFERROR(CONCATENATE(TEXT(INDEX($Q$7:$Q$165,SMALL(IF($T$7:$T$165&lt;&gt;"",IF($Q$7:$Q$165&lt;&gt;"",ROW($Q$7:$Q$165)-MIN(ROW($Q$7:$Q$165))+1,""),""),ROW()-ROW(A$167)+1)),"##0")," "),"")</f>
        <v>0</v>
      </c>
      <c r="S200">
        <f t="array" ref="S200">IFERROR(CONCATENATE((INDEX($A$7:$A$165,SMALL(IF($T$7:$T$165&lt;&gt;"",IF($Q$7:$Q$165&lt;&gt;"",ROW($Q$7:$Q$165)-MIN(ROW($Q$7:$Q$165))+1,""),""),ROW()-ROW(A$167)+1))),),"")</f>
        <v>0</v>
      </c>
      <c r="W200">
        <f t="array" ref="W200">IFERROR(CONCATENATE((INDEX($Z$7:$Z$165,SMALL(IF($Z$7:$Z$165&lt;&gt;"",IF($W$7:$W$165&lt;&gt;"",ROW($W$7:$W$165)-MIN(ROW($W$7:$W$165))+1,""),""),ROW()-ROW(A$167)+1))),","),"")</f>
        <v>0</v>
      </c>
      <c r="X200">
        <f t="array" ref="X200">IFERROR(CONCATENATE(TEXT(INDEX($W$7:$W$165,SMALL(IF($Z$7:$Z$165&lt;&gt;"",IF($W$7:$W$165&lt;&gt;"",ROW($W$7:$W$165)-MIN(ROW($W$7:$W$165))+1,""),""),ROW()-ROW(A$167)+1)),"##0"),","),"")</f>
        <v>0</v>
      </c>
      <c r="Y200">
        <f t="array" ref="Y200">IFERROR(CONCATENATE((INDEX($A$7:$A$165,SMALL(IF($Z$7:$Z$165&lt;&gt;"",IF($W$7:$W$165&lt;&gt;"",ROW($W$7:$W$165)-MIN(ROW($W$7:$W$165))+1,""),""),ROW()-ROW(A$167)+1))),),"")</f>
        <v>0</v>
      </c>
    </row>
    <row r="201" spans="11:25">
      <c r="K201">
        <f t="array" ref="K201">IFERROR(CONCATENATE(TEXT(INDEX($K$7:$K$165,SMALL(IF($N$7:$N$165&lt;&gt;"",IF($K$7:$K$165&lt;&gt;"",ROW($K$7:$K$165)-MIN(ROW($K$7:$K$165))+1,""),""),ROW()-ROW(A$167)+1)),"##0"),","),"")</f>
        <v>0</v>
      </c>
      <c r="L201">
        <f t="array" ref="L201">IFERROR(CONCATENATE((INDEX($N$7:$N$165,SMALL(IF($N$7:$N$165&lt;&gt;"",IF($K$7:$K$165&lt;&gt;"",ROW($K$7:$K$165)-MIN(ROW($K$7:$K$165))+1,""),""),ROW()-ROW(A$167)+1))),","),"")</f>
        <v>0</v>
      </c>
      <c r="M201">
        <f t="array" ref="M201">IFERROR(CONCATENATE((INDEX($A$7:$A$165,SMALL(IF($N$7:$N$165&lt;&gt;"",IF($K$7:$K$165&lt;&gt;"",ROW($K$7:$K$165)-MIN(ROW($K$7:$K$165))+1,""),""),ROW()-ROW(A$167)+1))),),"")</f>
        <v>0</v>
      </c>
      <c r="Q201">
        <f t="array" ref="Q201">IFERROR(CONCATENATE((INDEX($T$7:$T$165,SMALL(IF($T$7:$T$165&lt;&gt;"",IF($Q$7:$Q$165&lt;&gt;"",ROW($Q$7:$Q$165)-MIN(ROW($Q$7:$Q$165))+1,""),""),ROW()-ROW(A$167)+1)))," "),"")</f>
        <v>0</v>
      </c>
      <c r="R201">
        <f t="array" ref="R201">IFERROR(CONCATENATE(TEXT(INDEX($Q$7:$Q$165,SMALL(IF($T$7:$T$165&lt;&gt;"",IF($Q$7:$Q$165&lt;&gt;"",ROW($Q$7:$Q$165)-MIN(ROW($Q$7:$Q$165))+1,""),""),ROW()-ROW(A$167)+1)),"##0")," "),"")</f>
        <v>0</v>
      </c>
      <c r="S201">
        <f t="array" ref="S201">IFERROR(CONCATENATE((INDEX($A$7:$A$165,SMALL(IF($T$7:$T$165&lt;&gt;"",IF($Q$7:$Q$165&lt;&gt;"",ROW($Q$7:$Q$165)-MIN(ROW($Q$7:$Q$165))+1,""),""),ROW()-ROW(A$167)+1))),),"")</f>
        <v>0</v>
      </c>
      <c r="W201">
        <f t="array" ref="W201">IFERROR(CONCATENATE((INDEX($Z$7:$Z$165,SMALL(IF($Z$7:$Z$165&lt;&gt;"",IF($W$7:$W$165&lt;&gt;"",ROW($W$7:$W$165)-MIN(ROW($W$7:$W$165))+1,""),""),ROW()-ROW(A$167)+1))),","),"")</f>
        <v>0</v>
      </c>
      <c r="X201">
        <f t="array" ref="X201">IFERROR(CONCATENATE(TEXT(INDEX($W$7:$W$165,SMALL(IF($Z$7:$Z$165&lt;&gt;"",IF($W$7:$W$165&lt;&gt;"",ROW($W$7:$W$165)-MIN(ROW($W$7:$W$165))+1,""),""),ROW()-ROW(A$167)+1)),"##0"),","),"")</f>
        <v>0</v>
      </c>
      <c r="Y201">
        <f t="array" ref="Y201">IFERROR(CONCATENATE((INDEX($A$7:$A$165,SMALL(IF($Z$7:$Z$165&lt;&gt;"",IF($W$7:$W$165&lt;&gt;"",ROW($W$7:$W$165)-MIN(ROW($W$7:$W$165))+1,""),""),ROW()-ROW(A$167)+1))),),"")</f>
        <v>0</v>
      </c>
    </row>
    <row r="202" spans="11:25">
      <c r="K202">
        <f t="array" ref="K202">IFERROR(CONCATENATE(TEXT(INDEX($K$7:$K$165,SMALL(IF($N$7:$N$165&lt;&gt;"",IF($K$7:$K$165&lt;&gt;"",ROW($K$7:$K$165)-MIN(ROW($K$7:$K$165))+1,""),""),ROW()-ROW(A$167)+1)),"##0"),","),"")</f>
        <v>0</v>
      </c>
      <c r="L202">
        <f t="array" ref="L202">IFERROR(CONCATENATE((INDEX($N$7:$N$165,SMALL(IF($N$7:$N$165&lt;&gt;"",IF($K$7:$K$165&lt;&gt;"",ROW($K$7:$K$165)-MIN(ROW($K$7:$K$165))+1,""),""),ROW()-ROW(A$167)+1))),","),"")</f>
        <v>0</v>
      </c>
      <c r="M202">
        <f t="array" ref="M202">IFERROR(CONCATENATE((INDEX($A$7:$A$165,SMALL(IF($N$7:$N$165&lt;&gt;"",IF($K$7:$K$165&lt;&gt;"",ROW($K$7:$K$165)-MIN(ROW($K$7:$K$165))+1,""),""),ROW()-ROW(A$167)+1))),),"")</f>
        <v>0</v>
      </c>
      <c r="Q202">
        <f t="array" ref="Q202">IFERROR(CONCATENATE((INDEX($T$7:$T$165,SMALL(IF($T$7:$T$165&lt;&gt;"",IF($Q$7:$Q$165&lt;&gt;"",ROW($Q$7:$Q$165)-MIN(ROW($Q$7:$Q$165))+1,""),""),ROW()-ROW(A$167)+1)))," "),"")</f>
        <v>0</v>
      </c>
      <c r="R202">
        <f t="array" ref="R202">IFERROR(CONCATENATE(TEXT(INDEX($Q$7:$Q$165,SMALL(IF($T$7:$T$165&lt;&gt;"",IF($Q$7:$Q$165&lt;&gt;"",ROW($Q$7:$Q$165)-MIN(ROW($Q$7:$Q$165))+1,""),""),ROW()-ROW(A$167)+1)),"##0")," "),"")</f>
        <v>0</v>
      </c>
      <c r="S202">
        <f t="array" ref="S202">IFERROR(CONCATENATE((INDEX($A$7:$A$165,SMALL(IF($T$7:$T$165&lt;&gt;"",IF($Q$7:$Q$165&lt;&gt;"",ROW($Q$7:$Q$165)-MIN(ROW($Q$7:$Q$165))+1,""),""),ROW()-ROW(A$167)+1))),),"")</f>
        <v>0</v>
      </c>
      <c r="W202">
        <f t="array" ref="W202">IFERROR(CONCATENATE((INDEX($Z$7:$Z$165,SMALL(IF($Z$7:$Z$165&lt;&gt;"",IF($W$7:$W$165&lt;&gt;"",ROW($W$7:$W$165)-MIN(ROW($W$7:$W$165))+1,""),""),ROW()-ROW(A$167)+1))),","),"")</f>
        <v>0</v>
      </c>
      <c r="X202">
        <f t="array" ref="X202">IFERROR(CONCATENATE(TEXT(INDEX($W$7:$W$165,SMALL(IF($Z$7:$Z$165&lt;&gt;"",IF($W$7:$W$165&lt;&gt;"",ROW($W$7:$W$165)-MIN(ROW($W$7:$W$165))+1,""),""),ROW()-ROW(A$167)+1)),"##0"),","),"")</f>
        <v>0</v>
      </c>
      <c r="Y202">
        <f t="array" ref="Y202">IFERROR(CONCATENATE((INDEX($A$7:$A$165,SMALL(IF($Z$7:$Z$165&lt;&gt;"",IF($W$7:$W$165&lt;&gt;"",ROW($W$7:$W$165)-MIN(ROW($W$7:$W$165))+1,""),""),ROW()-ROW(A$167)+1))),),"")</f>
        <v>0</v>
      </c>
    </row>
    <row r="203" spans="11:25">
      <c r="K203">
        <f t="array" ref="K203">IFERROR(CONCATENATE(TEXT(INDEX($K$7:$K$165,SMALL(IF($N$7:$N$165&lt;&gt;"",IF($K$7:$K$165&lt;&gt;"",ROW($K$7:$K$165)-MIN(ROW($K$7:$K$165))+1,""),""),ROW()-ROW(A$167)+1)),"##0"),","),"")</f>
        <v>0</v>
      </c>
      <c r="L203">
        <f t="array" ref="L203">IFERROR(CONCATENATE((INDEX($N$7:$N$165,SMALL(IF($N$7:$N$165&lt;&gt;"",IF($K$7:$K$165&lt;&gt;"",ROW($K$7:$K$165)-MIN(ROW($K$7:$K$165))+1,""),""),ROW()-ROW(A$167)+1))),","),"")</f>
        <v>0</v>
      </c>
      <c r="M203">
        <f t="array" ref="M203">IFERROR(CONCATENATE((INDEX($A$7:$A$165,SMALL(IF($N$7:$N$165&lt;&gt;"",IF($K$7:$K$165&lt;&gt;"",ROW($K$7:$K$165)-MIN(ROW($K$7:$K$165))+1,""),""),ROW()-ROW(A$167)+1))),),"")</f>
        <v>0</v>
      </c>
      <c r="Q203">
        <f t="array" ref="Q203">IFERROR(CONCATENATE((INDEX($T$7:$T$165,SMALL(IF($T$7:$T$165&lt;&gt;"",IF($Q$7:$Q$165&lt;&gt;"",ROW($Q$7:$Q$165)-MIN(ROW($Q$7:$Q$165))+1,""),""),ROW()-ROW(A$167)+1)))," "),"")</f>
        <v>0</v>
      </c>
      <c r="R203">
        <f t="array" ref="R203">IFERROR(CONCATENATE(TEXT(INDEX($Q$7:$Q$165,SMALL(IF($T$7:$T$165&lt;&gt;"",IF($Q$7:$Q$165&lt;&gt;"",ROW($Q$7:$Q$165)-MIN(ROW($Q$7:$Q$165))+1,""),""),ROW()-ROW(A$167)+1)),"##0")," "),"")</f>
        <v>0</v>
      </c>
      <c r="S203">
        <f t="array" ref="S203">IFERROR(CONCATENATE((INDEX($A$7:$A$165,SMALL(IF($T$7:$T$165&lt;&gt;"",IF($Q$7:$Q$165&lt;&gt;"",ROW($Q$7:$Q$165)-MIN(ROW($Q$7:$Q$165))+1,""),""),ROW()-ROW(A$167)+1))),),"")</f>
        <v>0</v>
      </c>
      <c r="W203">
        <f t="array" ref="W203">IFERROR(CONCATENATE((INDEX($Z$7:$Z$165,SMALL(IF($Z$7:$Z$165&lt;&gt;"",IF($W$7:$W$165&lt;&gt;"",ROW($W$7:$W$165)-MIN(ROW($W$7:$W$165))+1,""),""),ROW()-ROW(A$167)+1))),","),"")</f>
        <v>0</v>
      </c>
      <c r="X203">
        <f t="array" ref="X203">IFERROR(CONCATENATE(TEXT(INDEX($W$7:$W$165,SMALL(IF($Z$7:$Z$165&lt;&gt;"",IF($W$7:$W$165&lt;&gt;"",ROW($W$7:$W$165)-MIN(ROW($W$7:$W$165))+1,""),""),ROW()-ROW(A$167)+1)),"##0"),","),"")</f>
        <v>0</v>
      </c>
      <c r="Y203">
        <f t="array" ref="Y203">IFERROR(CONCATENATE((INDEX($A$7:$A$165,SMALL(IF($Z$7:$Z$165&lt;&gt;"",IF($W$7:$W$165&lt;&gt;"",ROW($W$7:$W$165)-MIN(ROW($W$7:$W$165))+1,""),""),ROW()-ROW(A$167)+1))),),"")</f>
        <v>0</v>
      </c>
    </row>
    <row r="204" spans="11:25">
      <c r="K204">
        <f t="array" ref="K204">IFERROR(CONCATENATE(TEXT(INDEX($K$7:$K$165,SMALL(IF($N$7:$N$165&lt;&gt;"",IF($K$7:$K$165&lt;&gt;"",ROW($K$7:$K$165)-MIN(ROW($K$7:$K$165))+1,""),""),ROW()-ROW(A$167)+1)),"##0"),","),"")</f>
        <v>0</v>
      </c>
      <c r="L204">
        <f t="array" ref="L204">IFERROR(CONCATENATE((INDEX($N$7:$N$165,SMALL(IF($N$7:$N$165&lt;&gt;"",IF($K$7:$K$165&lt;&gt;"",ROW($K$7:$K$165)-MIN(ROW($K$7:$K$165))+1,""),""),ROW()-ROW(A$167)+1))),","),"")</f>
        <v>0</v>
      </c>
      <c r="M204">
        <f t="array" ref="M204">IFERROR(CONCATENATE((INDEX($A$7:$A$165,SMALL(IF($N$7:$N$165&lt;&gt;"",IF($K$7:$K$165&lt;&gt;"",ROW($K$7:$K$165)-MIN(ROW($K$7:$K$165))+1,""),""),ROW()-ROW(A$167)+1))),),"")</f>
        <v>0</v>
      </c>
      <c r="Q204">
        <f t="array" ref="Q204">IFERROR(CONCATENATE((INDEX($T$7:$T$165,SMALL(IF($T$7:$T$165&lt;&gt;"",IF($Q$7:$Q$165&lt;&gt;"",ROW($Q$7:$Q$165)-MIN(ROW($Q$7:$Q$165))+1,""),""),ROW()-ROW(A$167)+1)))," "),"")</f>
        <v>0</v>
      </c>
      <c r="R204">
        <f t="array" ref="R204">IFERROR(CONCATENATE(TEXT(INDEX($Q$7:$Q$165,SMALL(IF($T$7:$T$165&lt;&gt;"",IF($Q$7:$Q$165&lt;&gt;"",ROW($Q$7:$Q$165)-MIN(ROW($Q$7:$Q$165))+1,""),""),ROW()-ROW(A$167)+1)),"##0")," "),"")</f>
        <v>0</v>
      </c>
      <c r="S204">
        <f t="array" ref="S204">IFERROR(CONCATENATE((INDEX($A$7:$A$165,SMALL(IF($T$7:$T$165&lt;&gt;"",IF($Q$7:$Q$165&lt;&gt;"",ROW($Q$7:$Q$165)-MIN(ROW($Q$7:$Q$165))+1,""),""),ROW()-ROW(A$167)+1))),),"")</f>
        <v>0</v>
      </c>
      <c r="W204">
        <f t="array" ref="W204">IFERROR(CONCATENATE((INDEX($Z$7:$Z$165,SMALL(IF($Z$7:$Z$165&lt;&gt;"",IF($W$7:$W$165&lt;&gt;"",ROW($W$7:$W$165)-MIN(ROW($W$7:$W$165))+1,""),""),ROW()-ROW(A$167)+1))),","),"")</f>
        <v>0</v>
      </c>
      <c r="X204">
        <f t="array" ref="X204">IFERROR(CONCATENATE(TEXT(INDEX($W$7:$W$165,SMALL(IF($Z$7:$Z$165&lt;&gt;"",IF($W$7:$W$165&lt;&gt;"",ROW($W$7:$W$165)-MIN(ROW($W$7:$W$165))+1,""),""),ROW()-ROW(A$167)+1)),"##0"),","),"")</f>
        <v>0</v>
      </c>
      <c r="Y204">
        <f t="array" ref="Y204">IFERROR(CONCATENATE((INDEX($A$7:$A$165,SMALL(IF($Z$7:$Z$165&lt;&gt;"",IF($W$7:$W$165&lt;&gt;"",ROW($W$7:$W$165)-MIN(ROW($W$7:$W$165))+1,""),""),ROW()-ROW(A$167)+1))),),"")</f>
        <v>0</v>
      </c>
    </row>
    <row r="205" spans="11:25">
      <c r="K205">
        <f t="array" ref="K205">IFERROR(CONCATENATE(TEXT(INDEX($K$7:$K$165,SMALL(IF($N$7:$N$165&lt;&gt;"",IF($K$7:$K$165&lt;&gt;"",ROW($K$7:$K$165)-MIN(ROW($K$7:$K$165))+1,""),""),ROW()-ROW(A$167)+1)),"##0"),","),"")</f>
        <v>0</v>
      </c>
      <c r="L205">
        <f t="array" ref="L205">IFERROR(CONCATENATE((INDEX($N$7:$N$165,SMALL(IF($N$7:$N$165&lt;&gt;"",IF($K$7:$K$165&lt;&gt;"",ROW($K$7:$K$165)-MIN(ROW($K$7:$K$165))+1,""),""),ROW()-ROW(A$167)+1))),","),"")</f>
        <v>0</v>
      </c>
      <c r="M205">
        <f t="array" ref="M205">IFERROR(CONCATENATE((INDEX($A$7:$A$165,SMALL(IF($N$7:$N$165&lt;&gt;"",IF($K$7:$K$165&lt;&gt;"",ROW($K$7:$K$165)-MIN(ROW($K$7:$K$165))+1,""),""),ROW()-ROW(A$167)+1))),),"")</f>
        <v>0</v>
      </c>
      <c r="Q205">
        <f t="array" ref="Q205">IFERROR(CONCATENATE((INDEX($T$7:$T$165,SMALL(IF($T$7:$T$165&lt;&gt;"",IF($Q$7:$Q$165&lt;&gt;"",ROW($Q$7:$Q$165)-MIN(ROW($Q$7:$Q$165))+1,""),""),ROW()-ROW(A$167)+1)))," "),"")</f>
        <v>0</v>
      </c>
      <c r="R205">
        <f t="array" ref="R205">IFERROR(CONCATENATE(TEXT(INDEX($Q$7:$Q$165,SMALL(IF($T$7:$T$165&lt;&gt;"",IF($Q$7:$Q$165&lt;&gt;"",ROW($Q$7:$Q$165)-MIN(ROW($Q$7:$Q$165))+1,""),""),ROW()-ROW(A$167)+1)),"##0")," "),"")</f>
        <v>0</v>
      </c>
      <c r="S205">
        <f t="array" ref="S205">IFERROR(CONCATENATE((INDEX($A$7:$A$165,SMALL(IF($T$7:$T$165&lt;&gt;"",IF($Q$7:$Q$165&lt;&gt;"",ROW($Q$7:$Q$165)-MIN(ROW($Q$7:$Q$165))+1,""),""),ROW()-ROW(A$167)+1))),),"")</f>
        <v>0</v>
      </c>
      <c r="W205">
        <f t="array" ref="W205">IFERROR(CONCATENATE((INDEX($Z$7:$Z$165,SMALL(IF($Z$7:$Z$165&lt;&gt;"",IF($W$7:$W$165&lt;&gt;"",ROW($W$7:$W$165)-MIN(ROW($W$7:$W$165))+1,""),""),ROW()-ROW(A$167)+1))),","),"")</f>
        <v>0</v>
      </c>
      <c r="X205">
        <f t="array" ref="X205">IFERROR(CONCATENATE(TEXT(INDEX($W$7:$W$165,SMALL(IF($Z$7:$Z$165&lt;&gt;"",IF($W$7:$W$165&lt;&gt;"",ROW($W$7:$W$165)-MIN(ROW($W$7:$W$165))+1,""),""),ROW()-ROW(A$167)+1)),"##0"),","),"")</f>
        <v>0</v>
      </c>
      <c r="Y205">
        <f t="array" ref="Y205">IFERROR(CONCATENATE((INDEX($A$7:$A$165,SMALL(IF($Z$7:$Z$165&lt;&gt;"",IF($W$7:$W$165&lt;&gt;"",ROW($W$7:$W$165)-MIN(ROW($W$7:$W$165))+1,""),""),ROW()-ROW(A$167)+1))),),"")</f>
        <v>0</v>
      </c>
    </row>
    <row r="206" spans="11:25">
      <c r="K206">
        <f t="array" ref="K206">IFERROR(CONCATENATE(TEXT(INDEX($K$7:$K$165,SMALL(IF($N$7:$N$165&lt;&gt;"",IF($K$7:$K$165&lt;&gt;"",ROW($K$7:$K$165)-MIN(ROW($K$7:$K$165))+1,""),""),ROW()-ROW(A$167)+1)),"##0"),","),"")</f>
        <v>0</v>
      </c>
      <c r="L206">
        <f t="array" ref="L206">IFERROR(CONCATENATE((INDEX($N$7:$N$165,SMALL(IF($N$7:$N$165&lt;&gt;"",IF($K$7:$K$165&lt;&gt;"",ROW($K$7:$K$165)-MIN(ROW($K$7:$K$165))+1,""),""),ROW()-ROW(A$167)+1))),","),"")</f>
        <v>0</v>
      </c>
      <c r="M206">
        <f t="array" ref="M206">IFERROR(CONCATENATE((INDEX($A$7:$A$165,SMALL(IF($N$7:$N$165&lt;&gt;"",IF($K$7:$K$165&lt;&gt;"",ROW($K$7:$K$165)-MIN(ROW($K$7:$K$165))+1,""),""),ROW()-ROW(A$167)+1))),),"")</f>
        <v>0</v>
      </c>
      <c r="Q206">
        <f t="array" ref="Q206">IFERROR(CONCATENATE((INDEX($T$7:$T$165,SMALL(IF($T$7:$T$165&lt;&gt;"",IF($Q$7:$Q$165&lt;&gt;"",ROW($Q$7:$Q$165)-MIN(ROW($Q$7:$Q$165))+1,""),""),ROW()-ROW(A$167)+1)))," "),"")</f>
        <v>0</v>
      </c>
      <c r="R206">
        <f t="array" ref="R206">IFERROR(CONCATENATE(TEXT(INDEX($Q$7:$Q$165,SMALL(IF($T$7:$T$165&lt;&gt;"",IF($Q$7:$Q$165&lt;&gt;"",ROW($Q$7:$Q$165)-MIN(ROW($Q$7:$Q$165))+1,""),""),ROW()-ROW(A$167)+1)),"##0")," "),"")</f>
        <v>0</v>
      </c>
      <c r="S206">
        <f t="array" ref="S206">IFERROR(CONCATENATE((INDEX($A$7:$A$165,SMALL(IF($T$7:$T$165&lt;&gt;"",IF($Q$7:$Q$165&lt;&gt;"",ROW($Q$7:$Q$165)-MIN(ROW($Q$7:$Q$165))+1,""),""),ROW()-ROW(A$167)+1))),),"")</f>
        <v>0</v>
      </c>
      <c r="W206">
        <f t="array" ref="W206">IFERROR(CONCATENATE((INDEX($Z$7:$Z$165,SMALL(IF($Z$7:$Z$165&lt;&gt;"",IF($W$7:$W$165&lt;&gt;"",ROW($W$7:$W$165)-MIN(ROW($W$7:$W$165))+1,""),""),ROW()-ROW(A$167)+1))),","),"")</f>
        <v>0</v>
      </c>
      <c r="X206">
        <f t="array" ref="X206">IFERROR(CONCATENATE(TEXT(INDEX($W$7:$W$165,SMALL(IF($Z$7:$Z$165&lt;&gt;"",IF($W$7:$W$165&lt;&gt;"",ROW($W$7:$W$165)-MIN(ROW($W$7:$W$165))+1,""),""),ROW()-ROW(A$167)+1)),"##0"),","),"")</f>
        <v>0</v>
      </c>
      <c r="Y206">
        <f t="array" ref="Y206">IFERROR(CONCATENATE((INDEX($A$7:$A$165,SMALL(IF($Z$7:$Z$165&lt;&gt;"",IF($W$7:$W$165&lt;&gt;"",ROW($W$7:$W$165)-MIN(ROW($W$7:$W$165))+1,""),""),ROW()-ROW(A$167)+1))),),"")</f>
        <v>0</v>
      </c>
    </row>
    <row r="207" spans="11:25">
      <c r="K207">
        <f t="array" ref="K207">IFERROR(CONCATENATE(TEXT(INDEX($K$7:$K$165,SMALL(IF($N$7:$N$165&lt;&gt;"",IF($K$7:$K$165&lt;&gt;"",ROW($K$7:$K$165)-MIN(ROW($K$7:$K$165))+1,""),""),ROW()-ROW(A$167)+1)),"##0"),","),"")</f>
        <v>0</v>
      </c>
      <c r="L207">
        <f t="array" ref="L207">IFERROR(CONCATENATE((INDEX($N$7:$N$165,SMALL(IF($N$7:$N$165&lt;&gt;"",IF($K$7:$K$165&lt;&gt;"",ROW($K$7:$K$165)-MIN(ROW($K$7:$K$165))+1,""),""),ROW()-ROW(A$167)+1))),","),"")</f>
        <v>0</v>
      </c>
      <c r="M207">
        <f t="array" ref="M207">IFERROR(CONCATENATE((INDEX($A$7:$A$165,SMALL(IF($N$7:$N$165&lt;&gt;"",IF($K$7:$K$165&lt;&gt;"",ROW($K$7:$K$165)-MIN(ROW($K$7:$K$165))+1,""),""),ROW()-ROW(A$167)+1))),),"")</f>
        <v>0</v>
      </c>
      <c r="Q207">
        <f t="array" ref="Q207">IFERROR(CONCATENATE((INDEX($T$7:$T$165,SMALL(IF($T$7:$T$165&lt;&gt;"",IF($Q$7:$Q$165&lt;&gt;"",ROW($Q$7:$Q$165)-MIN(ROW($Q$7:$Q$165))+1,""),""),ROW()-ROW(A$167)+1)))," "),"")</f>
        <v>0</v>
      </c>
      <c r="R207">
        <f t="array" ref="R207">IFERROR(CONCATENATE(TEXT(INDEX($Q$7:$Q$165,SMALL(IF($T$7:$T$165&lt;&gt;"",IF($Q$7:$Q$165&lt;&gt;"",ROW($Q$7:$Q$165)-MIN(ROW($Q$7:$Q$165))+1,""),""),ROW()-ROW(A$167)+1)),"##0")," "),"")</f>
        <v>0</v>
      </c>
      <c r="S207">
        <f t="array" ref="S207">IFERROR(CONCATENATE((INDEX($A$7:$A$165,SMALL(IF($T$7:$T$165&lt;&gt;"",IF($Q$7:$Q$165&lt;&gt;"",ROW($Q$7:$Q$165)-MIN(ROW($Q$7:$Q$165))+1,""),""),ROW()-ROW(A$167)+1))),),"")</f>
        <v>0</v>
      </c>
      <c r="W207">
        <f t="array" ref="W207">IFERROR(CONCATENATE((INDEX($Z$7:$Z$165,SMALL(IF($Z$7:$Z$165&lt;&gt;"",IF($W$7:$W$165&lt;&gt;"",ROW($W$7:$W$165)-MIN(ROW($W$7:$W$165))+1,""),""),ROW()-ROW(A$167)+1))),","),"")</f>
        <v>0</v>
      </c>
      <c r="X207">
        <f t="array" ref="X207">IFERROR(CONCATENATE(TEXT(INDEX($W$7:$W$165,SMALL(IF($Z$7:$Z$165&lt;&gt;"",IF($W$7:$W$165&lt;&gt;"",ROW($W$7:$W$165)-MIN(ROW($W$7:$W$165))+1,""),""),ROW()-ROW(A$167)+1)),"##0"),","),"")</f>
        <v>0</v>
      </c>
      <c r="Y207">
        <f t="array" ref="Y207">IFERROR(CONCATENATE((INDEX($A$7:$A$165,SMALL(IF($Z$7:$Z$165&lt;&gt;"",IF($W$7:$W$165&lt;&gt;"",ROW($W$7:$W$165)-MIN(ROW($W$7:$W$165))+1,""),""),ROW()-ROW(A$167)+1))),),"")</f>
        <v>0</v>
      </c>
    </row>
    <row r="208" spans="11:25">
      <c r="K208">
        <f t="array" ref="K208">IFERROR(CONCATENATE(TEXT(INDEX($K$7:$K$165,SMALL(IF($N$7:$N$165&lt;&gt;"",IF($K$7:$K$165&lt;&gt;"",ROW($K$7:$K$165)-MIN(ROW($K$7:$K$165))+1,""),""),ROW()-ROW(A$167)+1)),"##0"),","),"")</f>
        <v>0</v>
      </c>
      <c r="L208">
        <f t="array" ref="L208">IFERROR(CONCATENATE((INDEX($N$7:$N$165,SMALL(IF($N$7:$N$165&lt;&gt;"",IF($K$7:$K$165&lt;&gt;"",ROW($K$7:$K$165)-MIN(ROW($K$7:$K$165))+1,""),""),ROW()-ROW(A$167)+1))),","),"")</f>
        <v>0</v>
      </c>
      <c r="M208">
        <f t="array" ref="M208">IFERROR(CONCATENATE((INDEX($A$7:$A$165,SMALL(IF($N$7:$N$165&lt;&gt;"",IF($K$7:$K$165&lt;&gt;"",ROW($K$7:$K$165)-MIN(ROW($K$7:$K$165))+1,""),""),ROW()-ROW(A$167)+1))),),"")</f>
        <v>0</v>
      </c>
      <c r="Q208">
        <f t="array" ref="Q208">IFERROR(CONCATENATE((INDEX($T$7:$T$165,SMALL(IF($T$7:$T$165&lt;&gt;"",IF($Q$7:$Q$165&lt;&gt;"",ROW($Q$7:$Q$165)-MIN(ROW($Q$7:$Q$165))+1,""),""),ROW()-ROW(A$167)+1)))," "),"")</f>
        <v>0</v>
      </c>
      <c r="R208">
        <f t="array" ref="R208">IFERROR(CONCATENATE(TEXT(INDEX($Q$7:$Q$165,SMALL(IF($T$7:$T$165&lt;&gt;"",IF($Q$7:$Q$165&lt;&gt;"",ROW($Q$7:$Q$165)-MIN(ROW($Q$7:$Q$165))+1,""),""),ROW()-ROW(A$167)+1)),"##0")," "),"")</f>
        <v>0</v>
      </c>
      <c r="S208">
        <f t="array" ref="S208">IFERROR(CONCATENATE((INDEX($A$7:$A$165,SMALL(IF($T$7:$T$165&lt;&gt;"",IF($Q$7:$Q$165&lt;&gt;"",ROW($Q$7:$Q$165)-MIN(ROW($Q$7:$Q$165))+1,""),""),ROW()-ROW(A$167)+1))),),"")</f>
        <v>0</v>
      </c>
      <c r="W208">
        <f t="array" ref="W208">IFERROR(CONCATENATE((INDEX($Z$7:$Z$165,SMALL(IF($Z$7:$Z$165&lt;&gt;"",IF($W$7:$W$165&lt;&gt;"",ROW($W$7:$W$165)-MIN(ROW($W$7:$W$165))+1,""),""),ROW()-ROW(A$167)+1))),","),"")</f>
        <v>0</v>
      </c>
      <c r="X208">
        <f t="array" ref="X208">IFERROR(CONCATENATE(TEXT(INDEX($W$7:$W$165,SMALL(IF($Z$7:$Z$165&lt;&gt;"",IF($W$7:$W$165&lt;&gt;"",ROW($W$7:$W$165)-MIN(ROW($W$7:$W$165))+1,""),""),ROW()-ROW(A$167)+1)),"##0"),","),"")</f>
        <v>0</v>
      </c>
      <c r="Y208">
        <f t="array" ref="Y208">IFERROR(CONCATENATE((INDEX($A$7:$A$165,SMALL(IF($Z$7:$Z$165&lt;&gt;"",IF($W$7:$W$165&lt;&gt;"",ROW($W$7:$W$165)-MIN(ROW($W$7:$W$165))+1,""),""),ROW()-ROW(A$167)+1))),),"")</f>
        <v>0</v>
      </c>
    </row>
    <row r="209" spans="11:25">
      <c r="K209">
        <f t="array" ref="K209">IFERROR(CONCATENATE(TEXT(INDEX($K$7:$K$165,SMALL(IF($N$7:$N$165&lt;&gt;"",IF($K$7:$K$165&lt;&gt;"",ROW($K$7:$K$165)-MIN(ROW($K$7:$K$165))+1,""),""),ROW()-ROW(A$167)+1)),"##0"),","),"")</f>
        <v>0</v>
      </c>
      <c r="L209">
        <f t="array" ref="L209">IFERROR(CONCATENATE((INDEX($N$7:$N$165,SMALL(IF($N$7:$N$165&lt;&gt;"",IF($K$7:$K$165&lt;&gt;"",ROW($K$7:$K$165)-MIN(ROW($K$7:$K$165))+1,""),""),ROW()-ROW(A$167)+1))),","),"")</f>
        <v>0</v>
      </c>
      <c r="M209">
        <f t="array" ref="M209">IFERROR(CONCATENATE((INDEX($A$7:$A$165,SMALL(IF($N$7:$N$165&lt;&gt;"",IF($K$7:$K$165&lt;&gt;"",ROW($K$7:$K$165)-MIN(ROW($K$7:$K$165))+1,""),""),ROW()-ROW(A$167)+1))),),"")</f>
        <v>0</v>
      </c>
      <c r="Q209">
        <f t="array" ref="Q209">IFERROR(CONCATENATE((INDEX($T$7:$T$165,SMALL(IF($T$7:$T$165&lt;&gt;"",IF($Q$7:$Q$165&lt;&gt;"",ROW($Q$7:$Q$165)-MIN(ROW($Q$7:$Q$165))+1,""),""),ROW()-ROW(A$167)+1)))," "),"")</f>
        <v>0</v>
      </c>
      <c r="R209">
        <f t="array" ref="R209">IFERROR(CONCATENATE(TEXT(INDEX($Q$7:$Q$165,SMALL(IF($T$7:$T$165&lt;&gt;"",IF($Q$7:$Q$165&lt;&gt;"",ROW($Q$7:$Q$165)-MIN(ROW($Q$7:$Q$165))+1,""),""),ROW()-ROW(A$167)+1)),"##0")," "),"")</f>
        <v>0</v>
      </c>
      <c r="S209">
        <f t="array" ref="S209">IFERROR(CONCATENATE((INDEX($A$7:$A$165,SMALL(IF($T$7:$T$165&lt;&gt;"",IF($Q$7:$Q$165&lt;&gt;"",ROW($Q$7:$Q$165)-MIN(ROW($Q$7:$Q$165))+1,""),""),ROW()-ROW(A$167)+1))),),"")</f>
        <v>0</v>
      </c>
      <c r="W209">
        <f t="array" ref="W209">IFERROR(CONCATENATE((INDEX($Z$7:$Z$165,SMALL(IF($Z$7:$Z$165&lt;&gt;"",IF($W$7:$W$165&lt;&gt;"",ROW($W$7:$W$165)-MIN(ROW($W$7:$W$165))+1,""),""),ROW()-ROW(A$167)+1))),","),"")</f>
        <v>0</v>
      </c>
      <c r="X209">
        <f t="array" ref="X209">IFERROR(CONCATENATE(TEXT(INDEX($W$7:$W$165,SMALL(IF($Z$7:$Z$165&lt;&gt;"",IF($W$7:$W$165&lt;&gt;"",ROW($W$7:$W$165)-MIN(ROW($W$7:$W$165))+1,""),""),ROW()-ROW(A$167)+1)),"##0"),","),"")</f>
        <v>0</v>
      </c>
      <c r="Y209">
        <f t="array" ref="Y209">IFERROR(CONCATENATE((INDEX($A$7:$A$165,SMALL(IF($Z$7:$Z$165&lt;&gt;"",IF($W$7:$W$165&lt;&gt;"",ROW($W$7:$W$165)-MIN(ROW($W$7:$W$165))+1,""),""),ROW()-ROW(A$167)+1))),),"")</f>
        <v>0</v>
      </c>
    </row>
    <row r="210" spans="11:25">
      <c r="K210">
        <f t="array" ref="K210">IFERROR(CONCATENATE(TEXT(INDEX($K$7:$K$165,SMALL(IF($N$7:$N$165&lt;&gt;"",IF($K$7:$K$165&lt;&gt;"",ROW($K$7:$K$165)-MIN(ROW($K$7:$K$165))+1,""),""),ROW()-ROW(A$167)+1)),"##0"),","),"")</f>
        <v>0</v>
      </c>
      <c r="L210">
        <f t="array" ref="L210">IFERROR(CONCATENATE((INDEX($N$7:$N$165,SMALL(IF($N$7:$N$165&lt;&gt;"",IF($K$7:$K$165&lt;&gt;"",ROW($K$7:$K$165)-MIN(ROW($K$7:$K$165))+1,""),""),ROW()-ROW(A$167)+1))),","),"")</f>
        <v>0</v>
      </c>
      <c r="M210">
        <f t="array" ref="M210">IFERROR(CONCATENATE((INDEX($A$7:$A$165,SMALL(IF($N$7:$N$165&lt;&gt;"",IF($K$7:$K$165&lt;&gt;"",ROW($K$7:$K$165)-MIN(ROW($K$7:$K$165))+1,""),""),ROW()-ROW(A$167)+1))),),"")</f>
        <v>0</v>
      </c>
      <c r="Q210">
        <f t="array" ref="Q210">IFERROR(CONCATENATE((INDEX($T$7:$T$165,SMALL(IF($T$7:$T$165&lt;&gt;"",IF($Q$7:$Q$165&lt;&gt;"",ROW($Q$7:$Q$165)-MIN(ROW($Q$7:$Q$165))+1,""),""),ROW()-ROW(A$167)+1)))," "),"")</f>
        <v>0</v>
      </c>
      <c r="R210">
        <f t="array" ref="R210">IFERROR(CONCATENATE(TEXT(INDEX($Q$7:$Q$165,SMALL(IF($T$7:$T$165&lt;&gt;"",IF($Q$7:$Q$165&lt;&gt;"",ROW($Q$7:$Q$165)-MIN(ROW($Q$7:$Q$165))+1,""),""),ROW()-ROW(A$167)+1)),"##0")," "),"")</f>
        <v>0</v>
      </c>
      <c r="S210">
        <f t="array" ref="S210">IFERROR(CONCATENATE((INDEX($A$7:$A$165,SMALL(IF($T$7:$T$165&lt;&gt;"",IF($Q$7:$Q$165&lt;&gt;"",ROW($Q$7:$Q$165)-MIN(ROW($Q$7:$Q$165))+1,""),""),ROW()-ROW(A$167)+1))),),"")</f>
        <v>0</v>
      </c>
      <c r="W210">
        <f t="array" ref="W210">IFERROR(CONCATENATE((INDEX($Z$7:$Z$165,SMALL(IF($Z$7:$Z$165&lt;&gt;"",IF($W$7:$W$165&lt;&gt;"",ROW($W$7:$W$165)-MIN(ROW($W$7:$W$165))+1,""),""),ROW()-ROW(A$167)+1))),","),"")</f>
        <v>0</v>
      </c>
      <c r="X210">
        <f t="array" ref="X210">IFERROR(CONCATENATE(TEXT(INDEX($W$7:$W$165,SMALL(IF($Z$7:$Z$165&lt;&gt;"",IF($W$7:$W$165&lt;&gt;"",ROW($W$7:$W$165)-MIN(ROW($W$7:$W$165))+1,""),""),ROW()-ROW(A$167)+1)),"##0"),","),"")</f>
        <v>0</v>
      </c>
      <c r="Y210">
        <f t="array" ref="Y210">IFERROR(CONCATENATE((INDEX($A$7:$A$165,SMALL(IF($Z$7:$Z$165&lt;&gt;"",IF($W$7:$W$165&lt;&gt;"",ROW($W$7:$W$165)-MIN(ROW($W$7:$W$165))+1,""),""),ROW()-ROW(A$167)+1))),),"")</f>
        <v>0</v>
      </c>
    </row>
    <row r="211" spans="11:25">
      <c r="K211">
        <f t="array" ref="K211">IFERROR(CONCATENATE(TEXT(INDEX($K$7:$K$165,SMALL(IF($N$7:$N$165&lt;&gt;"",IF($K$7:$K$165&lt;&gt;"",ROW($K$7:$K$165)-MIN(ROW($K$7:$K$165))+1,""),""),ROW()-ROW(A$167)+1)),"##0"),","),"")</f>
        <v>0</v>
      </c>
      <c r="L211">
        <f t="array" ref="L211">IFERROR(CONCATENATE((INDEX($N$7:$N$165,SMALL(IF($N$7:$N$165&lt;&gt;"",IF($K$7:$K$165&lt;&gt;"",ROW($K$7:$K$165)-MIN(ROW($K$7:$K$165))+1,""),""),ROW()-ROW(A$167)+1))),","),"")</f>
        <v>0</v>
      </c>
      <c r="M211">
        <f t="array" ref="M211">IFERROR(CONCATENATE((INDEX($A$7:$A$165,SMALL(IF($N$7:$N$165&lt;&gt;"",IF($K$7:$K$165&lt;&gt;"",ROW($K$7:$K$165)-MIN(ROW($K$7:$K$165))+1,""),""),ROW()-ROW(A$167)+1))),),"")</f>
        <v>0</v>
      </c>
      <c r="Q211">
        <f t="array" ref="Q211">IFERROR(CONCATENATE((INDEX($T$7:$T$165,SMALL(IF($T$7:$T$165&lt;&gt;"",IF($Q$7:$Q$165&lt;&gt;"",ROW($Q$7:$Q$165)-MIN(ROW($Q$7:$Q$165))+1,""),""),ROW()-ROW(A$167)+1)))," "),"")</f>
        <v>0</v>
      </c>
      <c r="R211">
        <f t="array" ref="R211">IFERROR(CONCATENATE(TEXT(INDEX($Q$7:$Q$165,SMALL(IF($T$7:$T$165&lt;&gt;"",IF($Q$7:$Q$165&lt;&gt;"",ROW($Q$7:$Q$165)-MIN(ROW($Q$7:$Q$165))+1,""),""),ROW()-ROW(A$167)+1)),"##0")," "),"")</f>
        <v>0</v>
      </c>
      <c r="S211">
        <f t="array" ref="S211">IFERROR(CONCATENATE((INDEX($A$7:$A$165,SMALL(IF($T$7:$T$165&lt;&gt;"",IF($Q$7:$Q$165&lt;&gt;"",ROW($Q$7:$Q$165)-MIN(ROW($Q$7:$Q$165))+1,""),""),ROW()-ROW(A$167)+1))),),"")</f>
        <v>0</v>
      </c>
      <c r="W211">
        <f t="array" ref="W211">IFERROR(CONCATENATE((INDEX($Z$7:$Z$165,SMALL(IF($Z$7:$Z$165&lt;&gt;"",IF($W$7:$W$165&lt;&gt;"",ROW($W$7:$W$165)-MIN(ROW($W$7:$W$165))+1,""),""),ROW()-ROW(A$167)+1))),","),"")</f>
        <v>0</v>
      </c>
      <c r="X211">
        <f t="array" ref="X211">IFERROR(CONCATENATE(TEXT(INDEX($W$7:$W$165,SMALL(IF($Z$7:$Z$165&lt;&gt;"",IF($W$7:$W$165&lt;&gt;"",ROW($W$7:$W$165)-MIN(ROW($W$7:$W$165))+1,""),""),ROW()-ROW(A$167)+1)),"##0"),","),"")</f>
        <v>0</v>
      </c>
      <c r="Y211">
        <f t="array" ref="Y211">IFERROR(CONCATENATE((INDEX($A$7:$A$165,SMALL(IF($Z$7:$Z$165&lt;&gt;"",IF($W$7:$W$165&lt;&gt;"",ROW($W$7:$W$165)-MIN(ROW($W$7:$W$165))+1,""),""),ROW()-ROW(A$167)+1))),),"")</f>
        <v>0</v>
      </c>
    </row>
    <row r="212" spans="11:25">
      <c r="K212">
        <f t="array" ref="K212">IFERROR(CONCATENATE(TEXT(INDEX($K$7:$K$165,SMALL(IF($N$7:$N$165&lt;&gt;"",IF($K$7:$K$165&lt;&gt;"",ROW($K$7:$K$165)-MIN(ROW($K$7:$K$165))+1,""),""),ROW()-ROW(A$167)+1)),"##0"),","),"")</f>
        <v>0</v>
      </c>
      <c r="L212">
        <f t="array" ref="L212">IFERROR(CONCATENATE((INDEX($N$7:$N$165,SMALL(IF($N$7:$N$165&lt;&gt;"",IF($K$7:$K$165&lt;&gt;"",ROW($K$7:$K$165)-MIN(ROW($K$7:$K$165))+1,""),""),ROW()-ROW(A$167)+1))),","),"")</f>
        <v>0</v>
      </c>
      <c r="M212">
        <f t="array" ref="M212">IFERROR(CONCATENATE((INDEX($A$7:$A$165,SMALL(IF($N$7:$N$165&lt;&gt;"",IF($K$7:$K$165&lt;&gt;"",ROW($K$7:$K$165)-MIN(ROW($K$7:$K$165))+1,""),""),ROW()-ROW(A$167)+1))),),"")</f>
        <v>0</v>
      </c>
      <c r="Q212">
        <f t="array" ref="Q212">IFERROR(CONCATENATE((INDEX($T$7:$T$165,SMALL(IF($T$7:$T$165&lt;&gt;"",IF($Q$7:$Q$165&lt;&gt;"",ROW($Q$7:$Q$165)-MIN(ROW($Q$7:$Q$165))+1,""),""),ROW()-ROW(A$167)+1)))," "),"")</f>
        <v>0</v>
      </c>
      <c r="R212">
        <f t="array" ref="R212">IFERROR(CONCATENATE(TEXT(INDEX($Q$7:$Q$165,SMALL(IF($T$7:$T$165&lt;&gt;"",IF($Q$7:$Q$165&lt;&gt;"",ROW($Q$7:$Q$165)-MIN(ROW($Q$7:$Q$165))+1,""),""),ROW()-ROW(A$167)+1)),"##0")," "),"")</f>
        <v>0</v>
      </c>
      <c r="S212">
        <f t="array" ref="S212">IFERROR(CONCATENATE((INDEX($A$7:$A$165,SMALL(IF($T$7:$T$165&lt;&gt;"",IF($Q$7:$Q$165&lt;&gt;"",ROW($Q$7:$Q$165)-MIN(ROW($Q$7:$Q$165))+1,""),""),ROW()-ROW(A$167)+1))),),"")</f>
        <v>0</v>
      </c>
      <c r="W212">
        <f t="array" ref="W212">IFERROR(CONCATENATE((INDEX($Z$7:$Z$165,SMALL(IF($Z$7:$Z$165&lt;&gt;"",IF($W$7:$W$165&lt;&gt;"",ROW($W$7:$W$165)-MIN(ROW($W$7:$W$165))+1,""),""),ROW()-ROW(A$167)+1))),","),"")</f>
        <v>0</v>
      </c>
      <c r="X212">
        <f t="array" ref="X212">IFERROR(CONCATENATE(TEXT(INDEX($W$7:$W$165,SMALL(IF($Z$7:$Z$165&lt;&gt;"",IF($W$7:$W$165&lt;&gt;"",ROW($W$7:$W$165)-MIN(ROW($W$7:$W$165))+1,""),""),ROW()-ROW(A$167)+1)),"##0"),","),"")</f>
        <v>0</v>
      </c>
      <c r="Y212">
        <f t="array" ref="Y212">IFERROR(CONCATENATE((INDEX($A$7:$A$165,SMALL(IF($Z$7:$Z$165&lt;&gt;"",IF($W$7:$W$165&lt;&gt;"",ROW($W$7:$W$165)-MIN(ROW($W$7:$W$165))+1,""),""),ROW()-ROW(A$167)+1))),),"")</f>
        <v>0</v>
      </c>
    </row>
    <row r="213" spans="11:25">
      <c r="K213">
        <f t="array" ref="K213">IFERROR(CONCATENATE(TEXT(INDEX($K$7:$K$165,SMALL(IF($N$7:$N$165&lt;&gt;"",IF($K$7:$K$165&lt;&gt;"",ROW($K$7:$K$165)-MIN(ROW($K$7:$K$165))+1,""),""),ROW()-ROW(A$167)+1)),"##0"),","),"")</f>
        <v>0</v>
      </c>
      <c r="L213">
        <f t="array" ref="L213">IFERROR(CONCATENATE((INDEX($N$7:$N$165,SMALL(IF($N$7:$N$165&lt;&gt;"",IF($K$7:$K$165&lt;&gt;"",ROW($K$7:$K$165)-MIN(ROW($K$7:$K$165))+1,""),""),ROW()-ROW(A$167)+1))),","),"")</f>
        <v>0</v>
      </c>
      <c r="M213">
        <f t="array" ref="M213">IFERROR(CONCATENATE((INDEX($A$7:$A$165,SMALL(IF($N$7:$N$165&lt;&gt;"",IF($K$7:$K$165&lt;&gt;"",ROW($K$7:$K$165)-MIN(ROW($K$7:$K$165))+1,""),""),ROW()-ROW(A$167)+1))),),"")</f>
        <v>0</v>
      </c>
      <c r="Q213">
        <f t="array" ref="Q213">IFERROR(CONCATENATE((INDEX($T$7:$T$165,SMALL(IF($T$7:$T$165&lt;&gt;"",IF($Q$7:$Q$165&lt;&gt;"",ROW($Q$7:$Q$165)-MIN(ROW($Q$7:$Q$165))+1,""),""),ROW()-ROW(A$167)+1)))," "),"")</f>
        <v>0</v>
      </c>
      <c r="R213">
        <f t="array" ref="R213">IFERROR(CONCATENATE(TEXT(INDEX($Q$7:$Q$165,SMALL(IF($T$7:$T$165&lt;&gt;"",IF($Q$7:$Q$165&lt;&gt;"",ROW($Q$7:$Q$165)-MIN(ROW($Q$7:$Q$165))+1,""),""),ROW()-ROW(A$167)+1)),"##0")," "),"")</f>
        <v>0</v>
      </c>
      <c r="S213">
        <f t="array" ref="S213">IFERROR(CONCATENATE((INDEX($A$7:$A$165,SMALL(IF($T$7:$T$165&lt;&gt;"",IF($Q$7:$Q$165&lt;&gt;"",ROW($Q$7:$Q$165)-MIN(ROW($Q$7:$Q$165))+1,""),""),ROW()-ROW(A$167)+1))),),"")</f>
        <v>0</v>
      </c>
      <c r="W213">
        <f t="array" ref="W213">IFERROR(CONCATENATE((INDEX($Z$7:$Z$165,SMALL(IF($Z$7:$Z$165&lt;&gt;"",IF($W$7:$W$165&lt;&gt;"",ROW($W$7:$W$165)-MIN(ROW($W$7:$W$165))+1,""),""),ROW()-ROW(A$167)+1))),","),"")</f>
        <v>0</v>
      </c>
      <c r="X213">
        <f t="array" ref="X213">IFERROR(CONCATENATE(TEXT(INDEX($W$7:$W$165,SMALL(IF($Z$7:$Z$165&lt;&gt;"",IF($W$7:$W$165&lt;&gt;"",ROW($W$7:$W$165)-MIN(ROW($W$7:$W$165))+1,""),""),ROW()-ROW(A$167)+1)),"##0"),","),"")</f>
        <v>0</v>
      </c>
      <c r="Y213">
        <f t="array" ref="Y213">IFERROR(CONCATENATE((INDEX($A$7:$A$165,SMALL(IF($Z$7:$Z$165&lt;&gt;"",IF($W$7:$W$165&lt;&gt;"",ROW($W$7:$W$165)-MIN(ROW($W$7:$W$165))+1,""),""),ROW()-ROW(A$167)+1))),),"")</f>
        <v>0</v>
      </c>
    </row>
    <row r="214" spans="11:25">
      <c r="K214">
        <f t="array" ref="K214">IFERROR(CONCATENATE(TEXT(INDEX($K$7:$K$165,SMALL(IF($N$7:$N$165&lt;&gt;"",IF($K$7:$K$165&lt;&gt;"",ROW($K$7:$K$165)-MIN(ROW($K$7:$K$165))+1,""),""),ROW()-ROW(A$167)+1)),"##0"),","),"")</f>
        <v>0</v>
      </c>
      <c r="L214">
        <f t="array" ref="L214">IFERROR(CONCATENATE((INDEX($N$7:$N$165,SMALL(IF($N$7:$N$165&lt;&gt;"",IF($K$7:$K$165&lt;&gt;"",ROW($K$7:$K$165)-MIN(ROW($K$7:$K$165))+1,""),""),ROW()-ROW(A$167)+1))),","),"")</f>
        <v>0</v>
      </c>
      <c r="M214">
        <f t="array" ref="M214">IFERROR(CONCATENATE((INDEX($A$7:$A$165,SMALL(IF($N$7:$N$165&lt;&gt;"",IF($K$7:$K$165&lt;&gt;"",ROW($K$7:$K$165)-MIN(ROW($K$7:$K$165))+1,""),""),ROW()-ROW(A$167)+1))),),"")</f>
        <v>0</v>
      </c>
      <c r="Q214">
        <f t="array" ref="Q214">IFERROR(CONCATENATE((INDEX($T$7:$T$165,SMALL(IF($T$7:$T$165&lt;&gt;"",IF($Q$7:$Q$165&lt;&gt;"",ROW($Q$7:$Q$165)-MIN(ROW($Q$7:$Q$165))+1,""),""),ROW()-ROW(A$167)+1)))," "),"")</f>
        <v>0</v>
      </c>
      <c r="R214">
        <f t="array" ref="R214">IFERROR(CONCATENATE(TEXT(INDEX($Q$7:$Q$165,SMALL(IF($T$7:$T$165&lt;&gt;"",IF($Q$7:$Q$165&lt;&gt;"",ROW($Q$7:$Q$165)-MIN(ROW($Q$7:$Q$165))+1,""),""),ROW()-ROW(A$167)+1)),"##0")," "),"")</f>
        <v>0</v>
      </c>
      <c r="S214">
        <f t="array" ref="S214">IFERROR(CONCATENATE((INDEX($A$7:$A$165,SMALL(IF($T$7:$T$165&lt;&gt;"",IF($Q$7:$Q$165&lt;&gt;"",ROW($Q$7:$Q$165)-MIN(ROW($Q$7:$Q$165))+1,""),""),ROW()-ROW(A$167)+1))),),"")</f>
        <v>0</v>
      </c>
      <c r="W214">
        <f t="array" ref="W214">IFERROR(CONCATENATE((INDEX($Z$7:$Z$165,SMALL(IF($Z$7:$Z$165&lt;&gt;"",IF($W$7:$W$165&lt;&gt;"",ROW($W$7:$W$165)-MIN(ROW($W$7:$W$165))+1,""),""),ROW()-ROW(A$167)+1))),","),"")</f>
        <v>0</v>
      </c>
      <c r="X214">
        <f t="array" ref="X214">IFERROR(CONCATENATE(TEXT(INDEX($W$7:$W$165,SMALL(IF($Z$7:$Z$165&lt;&gt;"",IF($W$7:$W$165&lt;&gt;"",ROW($W$7:$W$165)-MIN(ROW($W$7:$W$165))+1,""),""),ROW()-ROW(A$167)+1)),"##0"),","),"")</f>
        <v>0</v>
      </c>
      <c r="Y214">
        <f t="array" ref="Y214">IFERROR(CONCATENATE((INDEX($A$7:$A$165,SMALL(IF($Z$7:$Z$165&lt;&gt;"",IF($W$7:$W$165&lt;&gt;"",ROW($W$7:$W$165)-MIN(ROW($W$7:$W$165))+1,""),""),ROW()-ROW(A$167)+1))),),"")</f>
        <v>0</v>
      </c>
    </row>
    <row r="215" spans="11:25">
      <c r="K215">
        <f t="array" ref="K215">IFERROR(CONCATENATE(TEXT(INDEX($K$7:$K$165,SMALL(IF($N$7:$N$165&lt;&gt;"",IF($K$7:$K$165&lt;&gt;"",ROW($K$7:$K$165)-MIN(ROW($K$7:$K$165))+1,""),""),ROW()-ROW(A$167)+1)),"##0"),","),"")</f>
        <v>0</v>
      </c>
      <c r="L215">
        <f t="array" ref="L215">IFERROR(CONCATENATE((INDEX($N$7:$N$165,SMALL(IF($N$7:$N$165&lt;&gt;"",IF($K$7:$K$165&lt;&gt;"",ROW($K$7:$K$165)-MIN(ROW($K$7:$K$165))+1,""),""),ROW()-ROW(A$167)+1))),","),"")</f>
        <v>0</v>
      </c>
      <c r="M215">
        <f t="array" ref="M215">IFERROR(CONCATENATE((INDEX($A$7:$A$165,SMALL(IF($N$7:$N$165&lt;&gt;"",IF($K$7:$K$165&lt;&gt;"",ROW($K$7:$K$165)-MIN(ROW($K$7:$K$165))+1,""),""),ROW()-ROW(A$167)+1))),),"")</f>
        <v>0</v>
      </c>
      <c r="Q215">
        <f t="array" ref="Q215">IFERROR(CONCATENATE((INDEX($T$7:$T$165,SMALL(IF($T$7:$T$165&lt;&gt;"",IF($Q$7:$Q$165&lt;&gt;"",ROW($Q$7:$Q$165)-MIN(ROW($Q$7:$Q$165))+1,""),""),ROW()-ROW(A$167)+1)))," "),"")</f>
        <v>0</v>
      </c>
      <c r="R215">
        <f t="array" ref="R215">IFERROR(CONCATENATE(TEXT(INDEX($Q$7:$Q$165,SMALL(IF($T$7:$T$165&lt;&gt;"",IF($Q$7:$Q$165&lt;&gt;"",ROW($Q$7:$Q$165)-MIN(ROW($Q$7:$Q$165))+1,""),""),ROW()-ROW(A$167)+1)),"##0")," "),"")</f>
        <v>0</v>
      </c>
      <c r="S215">
        <f t="array" ref="S215">IFERROR(CONCATENATE((INDEX($A$7:$A$165,SMALL(IF($T$7:$T$165&lt;&gt;"",IF($Q$7:$Q$165&lt;&gt;"",ROW($Q$7:$Q$165)-MIN(ROW($Q$7:$Q$165))+1,""),""),ROW()-ROW(A$167)+1))),),"")</f>
        <v>0</v>
      </c>
      <c r="W215">
        <f t="array" ref="W215">IFERROR(CONCATENATE((INDEX($Z$7:$Z$165,SMALL(IF($Z$7:$Z$165&lt;&gt;"",IF($W$7:$W$165&lt;&gt;"",ROW($W$7:$W$165)-MIN(ROW($W$7:$W$165))+1,""),""),ROW()-ROW(A$167)+1))),","),"")</f>
        <v>0</v>
      </c>
      <c r="X215">
        <f t="array" ref="X215">IFERROR(CONCATENATE(TEXT(INDEX($W$7:$W$165,SMALL(IF($Z$7:$Z$165&lt;&gt;"",IF($W$7:$W$165&lt;&gt;"",ROW($W$7:$W$165)-MIN(ROW($W$7:$W$165))+1,""),""),ROW()-ROW(A$167)+1)),"##0"),","),"")</f>
        <v>0</v>
      </c>
      <c r="Y215">
        <f t="array" ref="Y215">IFERROR(CONCATENATE((INDEX($A$7:$A$165,SMALL(IF($Z$7:$Z$165&lt;&gt;"",IF($W$7:$W$165&lt;&gt;"",ROW($W$7:$W$165)-MIN(ROW($W$7:$W$165))+1,""),""),ROW()-ROW(A$167)+1))),),"")</f>
        <v>0</v>
      </c>
    </row>
    <row r="216" spans="11:25">
      <c r="K216">
        <f t="array" ref="K216">IFERROR(CONCATENATE(TEXT(INDEX($K$7:$K$165,SMALL(IF($N$7:$N$165&lt;&gt;"",IF($K$7:$K$165&lt;&gt;"",ROW($K$7:$K$165)-MIN(ROW($K$7:$K$165))+1,""),""),ROW()-ROW(A$167)+1)),"##0"),","),"")</f>
        <v>0</v>
      </c>
      <c r="L216">
        <f t="array" ref="L216">IFERROR(CONCATENATE((INDEX($N$7:$N$165,SMALL(IF($N$7:$N$165&lt;&gt;"",IF($K$7:$K$165&lt;&gt;"",ROW($K$7:$K$165)-MIN(ROW($K$7:$K$165))+1,""),""),ROW()-ROW(A$167)+1))),","),"")</f>
        <v>0</v>
      </c>
      <c r="M216">
        <f t="array" ref="M216">IFERROR(CONCATENATE((INDEX($A$7:$A$165,SMALL(IF($N$7:$N$165&lt;&gt;"",IF($K$7:$K$165&lt;&gt;"",ROW($K$7:$K$165)-MIN(ROW($K$7:$K$165))+1,""),""),ROW()-ROW(A$167)+1))),),"")</f>
        <v>0</v>
      </c>
      <c r="Q216">
        <f t="array" ref="Q216">IFERROR(CONCATENATE((INDEX($T$7:$T$165,SMALL(IF($T$7:$T$165&lt;&gt;"",IF($Q$7:$Q$165&lt;&gt;"",ROW($Q$7:$Q$165)-MIN(ROW($Q$7:$Q$165))+1,""),""),ROW()-ROW(A$167)+1)))," "),"")</f>
        <v>0</v>
      </c>
      <c r="R216">
        <f t="array" ref="R216">IFERROR(CONCATENATE(TEXT(INDEX($Q$7:$Q$165,SMALL(IF($T$7:$T$165&lt;&gt;"",IF($Q$7:$Q$165&lt;&gt;"",ROW($Q$7:$Q$165)-MIN(ROW($Q$7:$Q$165))+1,""),""),ROW()-ROW(A$167)+1)),"##0")," "),"")</f>
        <v>0</v>
      </c>
      <c r="S216">
        <f t="array" ref="S216">IFERROR(CONCATENATE((INDEX($A$7:$A$165,SMALL(IF($T$7:$T$165&lt;&gt;"",IF($Q$7:$Q$165&lt;&gt;"",ROW($Q$7:$Q$165)-MIN(ROW($Q$7:$Q$165))+1,""),""),ROW()-ROW(A$167)+1))),),"")</f>
        <v>0</v>
      </c>
      <c r="W216">
        <f t="array" ref="W216">IFERROR(CONCATENATE((INDEX($Z$7:$Z$165,SMALL(IF($Z$7:$Z$165&lt;&gt;"",IF($W$7:$W$165&lt;&gt;"",ROW($W$7:$W$165)-MIN(ROW($W$7:$W$165))+1,""),""),ROW()-ROW(A$167)+1))),","),"")</f>
        <v>0</v>
      </c>
      <c r="X216">
        <f t="array" ref="X216">IFERROR(CONCATENATE(TEXT(INDEX($W$7:$W$165,SMALL(IF($Z$7:$Z$165&lt;&gt;"",IF($W$7:$W$165&lt;&gt;"",ROW($W$7:$W$165)-MIN(ROW($W$7:$W$165))+1,""),""),ROW()-ROW(A$167)+1)),"##0"),","),"")</f>
        <v>0</v>
      </c>
      <c r="Y216">
        <f t="array" ref="Y216">IFERROR(CONCATENATE((INDEX($A$7:$A$165,SMALL(IF($Z$7:$Z$165&lt;&gt;"",IF($W$7:$W$165&lt;&gt;"",ROW($W$7:$W$165)-MIN(ROW($W$7:$W$165))+1,""),""),ROW()-ROW(A$167)+1))),),"")</f>
        <v>0</v>
      </c>
    </row>
    <row r="217" spans="11:25">
      <c r="K217">
        <f t="array" ref="K217">IFERROR(CONCATENATE(TEXT(INDEX($K$7:$K$165,SMALL(IF($N$7:$N$165&lt;&gt;"",IF($K$7:$K$165&lt;&gt;"",ROW($K$7:$K$165)-MIN(ROW($K$7:$K$165))+1,""),""),ROW()-ROW(A$167)+1)),"##0"),","),"")</f>
        <v>0</v>
      </c>
      <c r="L217">
        <f t="array" ref="L217">IFERROR(CONCATENATE((INDEX($N$7:$N$165,SMALL(IF($N$7:$N$165&lt;&gt;"",IF($K$7:$K$165&lt;&gt;"",ROW($K$7:$K$165)-MIN(ROW($K$7:$K$165))+1,""),""),ROW()-ROW(A$167)+1))),","),"")</f>
        <v>0</v>
      </c>
      <c r="M217">
        <f t="array" ref="M217">IFERROR(CONCATENATE((INDEX($A$7:$A$165,SMALL(IF($N$7:$N$165&lt;&gt;"",IF($K$7:$K$165&lt;&gt;"",ROW($K$7:$K$165)-MIN(ROW($K$7:$K$165))+1,""),""),ROW()-ROW(A$167)+1))),),"")</f>
        <v>0</v>
      </c>
      <c r="Q217">
        <f t="array" ref="Q217">IFERROR(CONCATENATE((INDEX($T$7:$T$165,SMALL(IF($T$7:$T$165&lt;&gt;"",IF($Q$7:$Q$165&lt;&gt;"",ROW($Q$7:$Q$165)-MIN(ROW($Q$7:$Q$165))+1,""),""),ROW()-ROW(A$167)+1)))," "),"")</f>
        <v>0</v>
      </c>
      <c r="R217">
        <f t="array" ref="R217">IFERROR(CONCATENATE(TEXT(INDEX($Q$7:$Q$165,SMALL(IF($T$7:$T$165&lt;&gt;"",IF($Q$7:$Q$165&lt;&gt;"",ROW($Q$7:$Q$165)-MIN(ROW($Q$7:$Q$165))+1,""),""),ROW()-ROW(A$167)+1)),"##0")," "),"")</f>
        <v>0</v>
      </c>
      <c r="S217">
        <f t="array" ref="S217">IFERROR(CONCATENATE((INDEX($A$7:$A$165,SMALL(IF($T$7:$T$165&lt;&gt;"",IF($Q$7:$Q$165&lt;&gt;"",ROW($Q$7:$Q$165)-MIN(ROW($Q$7:$Q$165))+1,""),""),ROW()-ROW(A$167)+1))),),"")</f>
        <v>0</v>
      </c>
      <c r="W217">
        <f t="array" ref="W217">IFERROR(CONCATENATE((INDEX($Z$7:$Z$165,SMALL(IF($Z$7:$Z$165&lt;&gt;"",IF($W$7:$W$165&lt;&gt;"",ROW($W$7:$W$165)-MIN(ROW($W$7:$W$165))+1,""),""),ROW()-ROW(A$167)+1))),","),"")</f>
        <v>0</v>
      </c>
      <c r="X217">
        <f t="array" ref="X217">IFERROR(CONCATENATE(TEXT(INDEX($W$7:$W$165,SMALL(IF($Z$7:$Z$165&lt;&gt;"",IF($W$7:$W$165&lt;&gt;"",ROW($W$7:$W$165)-MIN(ROW($W$7:$W$165))+1,""),""),ROW()-ROW(A$167)+1)),"##0"),","),"")</f>
        <v>0</v>
      </c>
      <c r="Y217">
        <f t="array" ref="Y217">IFERROR(CONCATENATE((INDEX($A$7:$A$165,SMALL(IF($Z$7:$Z$165&lt;&gt;"",IF($W$7:$W$165&lt;&gt;"",ROW($W$7:$W$165)-MIN(ROW($W$7:$W$165))+1,""),""),ROW()-ROW(A$167)+1))),),"")</f>
        <v>0</v>
      </c>
    </row>
    <row r="218" spans="11:25">
      <c r="K218">
        <f t="array" ref="K218">IFERROR(CONCATENATE(TEXT(INDEX($K$7:$K$165,SMALL(IF($N$7:$N$165&lt;&gt;"",IF($K$7:$K$165&lt;&gt;"",ROW($K$7:$K$165)-MIN(ROW($K$7:$K$165))+1,""),""),ROW()-ROW(A$167)+1)),"##0"),","),"")</f>
        <v>0</v>
      </c>
      <c r="L218">
        <f t="array" ref="L218">IFERROR(CONCATENATE((INDEX($N$7:$N$165,SMALL(IF($N$7:$N$165&lt;&gt;"",IF($K$7:$K$165&lt;&gt;"",ROW($K$7:$K$165)-MIN(ROW($K$7:$K$165))+1,""),""),ROW()-ROW(A$167)+1))),","),"")</f>
        <v>0</v>
      </c>
      <c r="M218">
        <f t="array" ref="M218">IFERROR(CONCATENATE((INDEX($A$7:$A$165,SMALL(IF($N$7:$N$165&lt;&gt;"",IF($K$7:$K$165&lt;&gt;"",ROW($K$7:$K$165)-MIN(ROW($K$7:$K$165))+1,""),""),ROW()-ROW(A$167)+1))),),"")</f>
        <v>0</v>
      </c>
      <c r="Q218">
        <f t="array" ref="Q218">IFERROR(CONCATENATE((INDEX($T$7:$T$165,SMALL(IF($T$7:$T$165&lt;&gt;"",IF($Q$7:$Q$165&lt;&gt;"",ROW($Q$7:$Q$165)-MIN(ROW($Q$7:$Q$165))+1,""),""),ROW()-ROW(A$167)+1)))," "),"")</f>
        <v>0</v>
      </c>
      <c r="R218">
        <f t="array" ref="R218">IFERROR(CONCATENATE(TEXT(INDEX($Q$7:$Q$165,SMALL(IF($T$7:$T$165&lt;&gt;"",IF($Q$7:$Q$165&lt;&gt;"",ROW($Q$7:$Q$165)-MIN(ROW($Q$7:$Q$165))+1,""),""),ROW()-ROW(A$167)+1)),"##0")," "),"")</f>
        <v>0</v>
      </c>
      <c r="S218">
        <f t="array" ref="S218">IFERROR(CONCATENATE((INDEX($A$7:$A$165,SMALL(IF($T$7:$T$165&lt;&gt;"",IF($Q$7:$Q$165&lt;&gt;"",ROW($Q$7:$Q$165)-MIN(ROW($Q$7:$Q$165))+1,""),""),ROW()-ROW(A$167)+1))),),"")</f>
        <v>0</v>
      </c>
      <c r="W218">
        <f t="array" ref="W218">IFERROR(CONCATENATE((INDEX($Z$7:$Z$165,SMALL(IF($Z$7:$Z$165&lt;&gt;"",IF($W$7:$W$165&lt;&gt;"",ROW($W$7:$W$165)-MIN(ROW($W$7:$W$165))+1,""),""),ROW()-ROW(A$167)+1))),","),"")</f>
        <v>0</v>
      </c>
      <c r="X218">
        <f t="array" ref="X218">IFERROR(CONCATENATE(TEXT(INDEX($W$7:$W$165,SMALL(IF($Z$7:$Z$165&lt;&gt;"",IF($W$7:$W$165&lt;&gt;"",ROW($W$7:$W$165)-MIN(ROW($W$7:$W$165))+1,""),""),ROW()-ROW(A$167)+1)),"##0"),","),"")</f>
        <v>0</v>
      </c>
      <c r="Y218">
        <f t="array" ref="Y218">IFERROR(CONCATENATE((INDEX($A$7:$A$165,SMALL(IF($Z$7:$Z$165&lt;&gt;"",IF($W$7:$W$165&lt;&gt;"",ROW($W$7:$W$165)-MIN(ROW($W$7:$W$165))+1,""),""),ROW()-ROW(A$167)+1))),),"")</f>
        <v>0</v>
      </c>
    </row>
    <row r="219" spans="11:25">
      <c r="K219">
        <f t="array" ref="K219">IFERROR(CONCATENATE(TEXT(INDEX($K$7:$K$165,SMALL(IF($N$7:$N$165&lt;&gt;"",IF($K$7:$K$165&lt;&gt;"",ROW($K$7:$K$165)-MIN(ROW($K$7:$K$165))+1,""),""),ROW()-ROW(A$167)+1)),"##0"),","),"")</f>
        <v>0</v>
      </c>
      <c r="L219">
        <f t="array" ref="L219">IFERROR(CONCATENATE((INDEX($N$7:$N$165,SMALL(IF($N$7:$N$165&lt;&gt;"",IF($K$7:$K$165&lt;&gt;"",ROW($K$7:$K$165)-MIN(ROW($K$7:$K$165))+1,""),""),ROW()-ROW(A$167)+1))),","),"")</f>
        <v>0</v>
      </c>
      <c r="M219">
        <f t="array" ref="M219">IFERROR(CONCATENATE((INDEX($A$7:$A$165,SMALL(IF($N$7:$N$165&lt;&gt;"",IF($K$7:$K$165&lt;&gt;"",ROW($K$7:$K$165)-MIN(ROW($K$7:$K$165))+1,""),""),ROW()-ROW(A$167)+1))),),"")</f>
        <v>0</v>
      </c>
      <c r="Q219">
        <f t="array" ref="Q219">IFERROR(CONCATENATE((INDEX($T$7:$T$165,SMALL(IF($T$7:$T$165&lt;&gt;"",IF($Q$7:$Q$165&lt;&gt;"",ROW($Q$7:$Q$165)-MIN(ROW($Q$7:$Q$165))+1,""),""),ROW()-ROW(A$167)+1)))," "),"")</f>
        <v>0</v>
      </c>
      <c r="R219">
        <f t="array" ref="R219">IFERROR(CONCATENATE(TEXT(INDEX($Q$7:$Q$165,SMALL(IF($T$7:$T$165&lt;&gt;"",IF($Q$7:$Q$165&lt;&gt;"",ROW($Q$7:$Q$165)-MIN(ROW($Q$7:$Q$165))+1,""),""),ROW()-ROW(A$167)+1)),"##0")," "),"")</f>
        <v>0</v>
      </c>
      <c r="S219">
        <f t="array" ref="S219">IFERROR(CONCATENATE((INDEX($A$7:$A$165,SMALL(IF($T$7:$T$165&lt;&gt;"",IF($Q$7:$Q$165&lt;&gt;"",ROW($Q$7:$Q$165)-MIN(ROW($Q$7:$Q$165))+1,""),""),ROW()-ROW(A$167)+1))),),"")</f>
        <v>0</v>
      </c>
      <c r="W219">
        <f t="array" ref="W219">IFERROR(CONCATENATE((INDEX($Z$7:$Z$165,SMALL(IF($Z$7:$Z$165&lt;&gt;"",IF($W$7:$W$165&lt;&gt;"",ROW($W$7:$W$165)-MIN(ROW($W$7:$W$165))+1,""),""),ROW()-ROW(A$167)+1))),","),"")</f>
        <v>0</v>
      </c>
      <c r="X219">
        <f t="array" ref="X219">IFERROR(CONCATENATE(TEXT(INDEX($W$7:$W$165,SMALL(IF($Z$7:$Z$165&lt;&gt;"",IF($W$7:$W$165&lt;&gt;"",ROW($W$7:$W$165)-MIN(ROW($W$7:$W$165))+1,""),""),ROW()-ROW(A$167)+1)),"##0"),","),"")</f>
        <v>0</v>
      </c>
      <c r="Y219">
        <f t="array" ref="Y219">IFERROR(CONCATENATE((INDEX($A$7:$A$165,SMALL(IF($Z$7:$Z$165&lt;&gt;"",IF($W$7:$W$165&lt;&gt;"",ROW($W$7:$W$165)-MIN(ROW($W$7:$W$165))+1,""),""),ROW()-ROW(A$167)+1))),),"")</f>
        <v>0</v>
      </c>
    </row>
    <row r="220" spans="11:25">
      <c r="K220">
        <f t="array" ref="K220">IFERROR(CONCATENATE(TEXT(INDEX($K$7:$K$165,SMALL(IF($N$7:$N$165&lt;&gt;"",IF($K$7:$K$165&lt;&gt;"",ROW($K$7:$K$165)-MIN(ROW($K$7:$K$165))+1,""),""),ROW()-ROW(A$167)+1)),"##0"),","),"")</f>
        <v>0</v>
      </c>
      <c r="L220">
        <f t="array" ref="L220">IFERROR(CONCATENATE((INDEX($N$7:$N$165,SMALL(IF($N$7:$N$165&lt;&gt;"",IF($K$7:$K$165&lt;&gt;"",ROW($K$7:$K$165)-MIN(ROW($K$7:$K$165))+1,""),""),ROW()-ROW(A$167)+1))),","),"")</f>
        <v>0</v>
      </c>
      <c r="M220">
        <f t="array" ref="M220">IFERROR(CONCATENATE((INDEX($A$7:$A$165,SMALL(IF($N$7:$N$165&lt;&gt;"",IF($K$7:$K$165&lt;&gt;"",ROW($K$7:$K$165)-MIN(ROW($K$7:$K$165))+1,""),""),ROW()-ROW(A$167)+1))),),"")</f>
        <v>0</v>
      </c>
      <c r="Q220">
        <f t="array" ref="Q220">IFERROR(CONCATENATE((INDEX($T$7:$T$165,SMALL(IF($T$7:$T$165&lt;&gt;"",IF($Q$7:$Q$165&lt;&gt;"",ROW($Q$7:$Q$165)-MIN(ROW($Q$7:$Q$165))+1,""),""),ROW()-ROW(A$167)+1)))," "),"")</f>
        <v>0</v>
      </c>
      <c r="R220">
        <f t="array" ref="R220">IFERROR(CONCATENATE(TEXT(INDEX($Q$7:$Q$165,SMALL(IF($T$7:$T$165&lt;&gt;"",IF($Q$7:$Q$165&lt;&gt;"",ROW($Q$7:$Q$165)-MIN(ROW($Q$7:$Q$165))+1,""),""),ROW()-ROW(A$167)+1)),"##0")," "),"")</f>
        <v>0</v>
      </c>
      <c r="S220">
        <f t="array" ref="S220">IFERROR(CONCATENATE((INDEX($A$7:$A$165,SMALL(IF($T$7:$T$165&lt;&gt;"",IF($Q$7:$Q$165&lt;&gt;"",ROW($Q$7:$Q$165)-MIN(ROW($Q$7:$Q$165))+1,""),""),ROW()-ROW(A$167)+1))),),"")</f>
        <v>0</v>
      </c>
      <c r="W220">
        <f t="array" ref="W220">IFERROR(CONCATENATE((INDEX($Z$7:$Z$165,SMALL(IF($Z$7:$Z$165&lt;&gt;"",IF($W$7:$W$165&lt;&gt;"",ROW($W$7:$W$165)-MIN(ROW($W$7:$W$165))+1,""),""),ROW()-ROW(A$167)+1))),","),"")</f>
        <v>0</v>
      </c>
      <c r="X220">
        <f t="array" ref="X220">IFERROR(CONCATENATE(TEXT(INDEX($W$7:$W$165,SMALL(IF($Z$7:$Z$165&lt;&gt;"",IF($W$7:$W$165&lt;&gt;"",ROW($W$7:$W$165)-MIN(ROW($W$7:$W$165))+1,""),""),ROW()-ROW(A$167)+1)),"##0"),","),"")</f>
        <v>0</v>
      </c>
      <c r="Y220">
        <f t="array" ref="Y220">IFERROR(CONCATENATE((INDEX($A$7:$A$165,SMALL(IF($Z$7:$Z$165&lt;&gt;"",IF($W$7:$W$165&lt;&gt;"",ROW($W$7:$W$165)-MIN(ROW($W$7:$W$165))+1,""),""),ROW()-ROW(A$167)+1))),),"")</f>
        <v>0</v>
      </c>
    </row>
    <row r="221" spans="11:25">
      <c r="K221">
        <f t="array" ref="K221">IFERROR(CONCATENATE(TEXT(INDEX($K$7:$K$165,SMALL(IF($N$7:$N$165&lt;&gt;"",IF($K$7:$K$165&lt;&gt;"",ROW($K$7:$K$165)-MIN(ROW($K$7:$K$165))+1,""),""),ROW()-ROW(A$167)+1)),"##0"),","),"")</f>
        <v>0</v>
      </c>
      <c r="L221">
        <f t="array" ref="L221">IFERROR(CONCATENATE((INDEX($N$7:$N$165,SMALL(IF($N$7:$N$165&lt;&gt;"",IF($K$7:$K$165&lt;&gt;"",ROW($K$7:$K$165)-MIN(ROW($K$7:$K$165))+1,""),""),ROW()-ROW(A$167)+1))),","),"")</f>
        <v>0</v>
      </c>
      <c r="M221">
        <f t="array" ref="M221">IFERROR(CONCATENATE((INDEX($A$7:$A$165,SMALL(IF($N$7:$N$165&lt;&gt;"",IF($K$7:$K$165&lt;&gt;"",ROW($K$7:$K$165)-MIN(ROW($K$7:$K$165))+1,""),""),ROW()-ROW(A$167)+1))),),"")</f>
        <v>0</v>
      </c>
      <c r="Q221">
        <f t="array" ref="Q221">IFERROR(CONCATENATE((INDEX($T$7:$T$165,SMALL(IF($T$7:$T$165&lt;&gt;"",IF($Q$7:$Q$165&lt;&gt;"",ROW($Q$7:$Q$165)-MIN(ROW($Q$7:$Q$165))+1,""),""),ROW()-ROW(A$167)+1)))," "),"")</f>
        <v>0</v>
      </c>
      <c r="R221">
        <f t="array" ref="R221">IFERROR(CONCATENATE(TEXT(INDEX($Q$7:$Q$165,SMALL(IF($T$7:$T$165&lt;&gt;"",IF($Q$7:$Q$165&lt;&gt;"",ROW($Q$7:$Q$165)-MIN(ROW($Q$7:$Q$165))+1,""),""),ROW()-ROW(A$167)+1)),"##0")," "),"")</f>
        <v>0</v>
      </c>
      <c r="S221">
        <f t="array" ref="S221">IFERROR(CONCATENATE((INDEX($A$7:$A$165,SMALL(IF($T$7:$T$165&lt;&gt;"",IF($Q$7:$Q$165&lt;&gt;"",ROW($Q$7:$Q$165)-MIN(ROW($Q$7:$Q$165))+1,""),""),ROW()-ROW(A$167)+1))),),"")</f>
        <v>0</v>
      </c>
      <c r="W221">
        <f t="array" ref="W221">IFERROR(CONCATENATE((INDEX($Z$7:$Z$165,SMALL(IF($Z$7:$Z$165&lt;&gt;"",IF($W$7:$W$165&lt;&gt;"",ROW($W$7:$W$165)-MIN(ROW($W$7:$W$165))+1,""),""),ROW()-ROW(A$167)+1))),","),"")</f>
        <v>0</v>
      </c>
      <c r="X221">
        <f t="array" ref="X221">IFERROR(CONCATENATE(TEXT(INDEX($W$7:$W$165,SMALL(IF($Z$7:$Z$165&lt;&gt;"",IF($W$7:$W$165&lt;&gt;"",ROW($W$7:$W$165)-MIN(ROW($W$7:$W$165))+1,""),""),ROW()-ROW(A$167)+1)),"##0"),","),"")</f>
        <v>0</v>
      </c>
      <c r="Y221">
        <f t="array" ref="Y221">IFERROR(CONCATENATE((INDEX($A$7:$A$165,SMALL(IF($Z$7:$Z$165&lt;&gt;"",IF($W$7:$W$165&lt;&gt;"",ROW($W$7:$W$165)-MIN(ROW($W$7:$W$165))+1,""),""),ROW()-ROW(A$167)+1))),),"")</f>
        <v>0</v>
      </c>
    </row>
    <row r="222" spans="11:25">
      <c r="K222">
        <f t="array" ref="K222">IFERROR(CONCATENATE(TEXT(INDEX($K$7:$K$165,SMALL(IF($N$7:$N$165&lt;&gt;"",IF($K$7:$K$165&lt;&gt;"",ROW($K$7:$K$165)-MIN(ROW($K$7:$K$165))+1,""),""),ROW()-ROW(A$167)+1)),"##0"),","),"")</f>
        <v>0</v>
      </c>
      <c r="L222">
        <f t="array" ref="L222">IFERROR(CONCATENATE((INDEX($N$7:$N$165,SMALL(IF($N$7:$N$165&lt;&gt;"",IF($K$7:$K$165&lt;&gt;"",ROW($K$7:$K$165)-MIN(ROW($K$7:$K$165))+1,""),""),ROW()-ROW(A$167)+1))),","),"")</f>
        <v>0</v>
      </c>
      <c r="M222">
        <f t="array" ref="M222">IFERROR(CONCATENATE((INDEX($A$7:$A$165,SMALL(IF($N$7:$N$165&lt;&gt;"",IF($K$7:$K$165&lt;&gt;"",ROW($K$7:$K$165)-MIN(ROW($K$7:$K$165))+1,""),""),ROW()-ROW(A$167)+1))),),"")</f>
        <v>0</v>
      </c>
      <c r="Q222">
        <f t="array" ref="Q222">IFERROR(CONCATENATE((INDEX($T$7:$T$165,SMALL(IF($T$7:$T$165&lt;&gt;"",IF($Q$7:$Q$165&lt;&gt;"",ROW($Q$7:$Q$165)-MIN(ROW($Q$7:$Q$165))+1,""),""),ROW()-ROW(A$167)+1)))," "),"")</f>
        <v>0</v>
      </c>
      <c r="R222">
        <f t="array" ref="R222">IFERROR(CONCATENATE(TEXT(INDEX($Q$7:$Q$165,SMALL(IF($T$7:$T$165&lt;&gt;"",IF($Q$7:$Q$165&lt;&gt;"",ROW($Q$7:$Q$165)-MIN(ROW($Q$7:$Q$165))+1,""),""),ROW()-ROW(A$167)+1)),"##0")," "),"")</f>
        <v>0</v>
      </c>
      <c r="S222">
        <f t="array" ref="S222">IFERROR(CONCATENATE((INDEX($A$7:$A$165,SMALL(IF($T$7:$T$165&lt;&gt;"",IF($Q$7:$Q$165&lt;&gt;"",ROW($Q$7:$Q$165)-MIN(ROW($Q$7:$Q$165))+1,""),""),ROW()-ROW(A$167)+1))),),"")</f>
        <v>0</v>
      </c>
      <c r="W222">
        <f t="array" ref="W222">IFERROR(CONCATENATE((INDEX($Z$7:$Z$165,SMALL(IF($Z$7:$Z$165&lt;&gt;"",IF($W$7:$W$165&lt;&gt;"",ROW($W$7:$W$165)-MIN(ROW($W$7:$W$165))+1,""),""),ROW()-ROW(A$167)+1))),","),"")</f>
        <v>0</v>
      </c>
      <c r="X222">
        <f t="array" ref="X222">IFERROR(CONCATENATE(TEXT(INDEX($W$7:$W$165,SMALL(IF($Z$7:$Z$165&lt;&gt;"",IF($W$7:$W$165&lt;&gt;"",ROW($W$7:$W$165)-MIN(ROW($W$7:$W$165))+1,""),""),ROW()-ROW(A$167)+1)),"##0"),","),"")</f>
        <v>0</v>
      </c>
      <c r="Y222">
        <f t="array" ref="Y222">IFERROR(CONCATENATE((INDEX($A$7:$A$165,SMALL(IF($Z$7:$Z$165&lt;&gt;"",IF($W$7:$W$165&lt;&gt;"",ROW($W$7:$W$165)-MIN(ROW($W$7:$W$165))+1,""),""),ROW()-ROW(A$167)+1))),),"")</f>
        <v>0</v>
      </c>
    </row>
    <row r="223" spans="11:25">
      <c r="K223">
        <f t="array" ref="K223">IFERROR(CONCATENATE(TEXT(INDEX($K$7:$K$165,SMALL(IF($N$7:$N$165&lt;&gt;"",IF($K$7:$K$165&lt;&gt;"",ROW($K$7:$K$165)-MIN(ROW($K$7:$K$165))+1,""),""),ROW()-ROW(A$167)+1)),"##0"),","),"")</f>
        <v>0</v>
      </c>
      <c r="L223">
        <f t="array" ref="L223">IFERROR(CONCATENATE((INDEX($N$7:$N$165,SMALL(IF($N$7:$N$165&lt;&gt;"",IF($K$7:$K$165&lt;&gt;"",ROW($K$7:$K$165)-MIN(ROW($K$7:$K$165))+1,""),""),ROW()-ROW(A$167)+1))),","),"")</f>
        <v>0</v>
      </c>
      <c r="M223">
        <f t="array" ref="M223">IFERROR(CONCATENATE((INDEX($A$7:$A$165,SMALL(IF($N$7:$N$165&lt;&gt;"",IF($K$7:$K$165&lt;&gt;"",ROW($K$7:$K$165)-MIN(ROW($K$7:$K$165))+1,""),""),ROW()-ROW(A$167)+1))),),"")</f>
        <v>0</v>
      </c>
      <c r="Q223">
        <f t="array" ref="Q223">IFERROR(CONCATENATE((INDEX($T$7:$T$165,SMALL(IF($T$7:$T$165&lt;&gt;"",IF($Q$7:$Q$165&lt;&gt;"",ROW($Q$7:$Q$165)-MIN(ROW($Q$7:$Q$165))+1,""),""),ROW()-ROW(A$167)+1)))," "),"")</f>
        <v>0</v>
      </c>
      <c r="R223">
        <f t="array" ref="R223">IFERROR(CONCATENATE(TEXT(INDEX($Q$7:$Q$165,SMALL(IF($T$7:$T$165&lt;&gt;"",IF($Q$7:$Q$165&lt;&gt;"",ROW($Q$7:$Q$165)-MIN(ROW($Q$7:$Q$165))+1,""),""),ROW()-ROW(A$167)+1)),"##0")," "),"")</f>
        <v>0</v>
      </c>
      <c r="S223">
        <f t="array" ref="S223">IFERROR(CONCATENATE((INDEX($A$7:$A$165,SMALL(IF($T$7:$T$165&lt;&gt;"",IF($Q$7:$Q$165&lt;&gt;"",ROW($Q$7:$Q$165)-MIN(ROW($Q$7:$Q$165))+1,""),""),ROW()-ROW(A$167)+1))),),"")</f>
        <v>0</v>
      </c>
      <c r="W223">
        <f t="array" ref="W223">IFERROR(CONCATENATE((INDEX($Z$7:$Z$165,SMALL(IF($Z$7:$Z$165&lt;&gt;"",IF($W$7:$W$165&lt;&gt;"",ROW($W$7:$W$165)-MIN(ROW($W$7:$W$165))+1,""),""),ROW()-ROW(A$167)+1))),","),"")</f>
        <v>0</v>
      </c>
      <c r="X223">
        <f t="array" ref="X223">IFERROR(CONCATENATE(TEXT(INDEX($W$7:$W$165,SMALL(IF($Z$7:$Z$165&lt;&gt;"",IF($W$7:$W$165&lt;&gt;"",ROW($W$7:$W$165)-MIN(ROW($W$7:$W$165))+1,""),""),ROW()-ROW(A$167)+1)),"##0"),","),"")</f>
        <v>0</v>
      </c>
      <c r="Y223">
        <f t="array" ref="Y223">IFERROR(CONCATENATE((INDEX($A$7:$A$165,SMALL(IF($Z$7:$Z$165&lt;&gt;"",IF($W$7:$W$165&lt;&gt;"",ROW($W$7:$W$165)-MIN(ROW($W$7:$W$165))+1,""),""),ROW()-ROW(A$167)+1))),),"")</f>
        <v>0</v>
      </c>
    </row>
    <row r="224" spans="11:25">
      <c r="K224">
        <f t="array" ref="K224">IFERROR(CONCATENATE(TEXT(INDEX($K$7:$K$165,SMALL(IF($N$7:$N$165&lt;&gt;"",IF($K$7:$K$165&lt;&gt;"",ROW($K$7:$K$165)-MIN(ROW($K$7:$K$165))+1,""),""),ROW()-ROW(A$167)+1)),"##0"),","),"")</f>
        <v>0</v>
      </c>
      <c r="L224">
        <f t="array" ref="L224">IFERROR(CONCATENATE((INDEX($N$7:$N$165,SMALL(IF($N$7:$N$165&lt;&gt;"",IF($K$7:$K$165&lt;&gt;"",ROW($K$7:$K$165)-MIN(ROW($K$7:$K$165))+1,""),""),ROW()-ROW(A$167)+1))),","),"")</f>
        <v>0</v>
      </c>
      <c r="M224">
        <f t="array" ref="M224">IFERROR(CONCATENATE((INDEX($A$7:$A$165,SMALL(IF($N$7:$N$165&lt;&gt;"",IF($K$7:$K$165&lt;&gt;"",ROW($K$7:$K$165)-MIN(ROW($K$7:$K$165))+1,""),""),ROW()-ROW(A$167)+1))),),"")</f>
        <v>0</v>
      </c>
      <c r="Q224">
        <f t="array" ref="Q224">IFERROR(CONCATENATE((INDEX($T$7:$T$165,SMALL(IF($T$7:$T$165&lt;&gt;"",IF($Q$7:$Q$165&lt;&gt;"",ROW($Q$7:$Q$165)-MIN(ROW($Q$7:$Q$165))+1,""),""),ROW()-ROW(A$167)+1)))," "),"")</f>
        <v>0</v>
      </c>
      <c r="R224">
        <f t="array" ref="R224">IFERROR(CONCATENATE(TEXT(INDEX($Q$7:$Q$165,SMALL(IF($T$7:$T$165&lt;&gt;"",IF($Q$7:$Q$165&lt;&gt;"",ROW($Q$7:$Q$165)-MIN(ROW($Q$7:$Q$165))+1,""),""),ROW()-ROW(A$167)+1)),"##0")," "),"")</f>
        <v>0</v>
      </c>
      <c r="S224">
        <f t="array" ref="S224">IFERROR(CONCATENATE((INDEX($A$7:$A$165,SMALL(IF($T$7:$T$165&lt;&gt;"",IF($Q$7:$Q$165&lt;&gt;"",ROW($Q$7:$Q$165)-MIN(ROW($Q$7:$Q$165))+1,""),""),ROW()-ROW(A$167)+1))),),"")</f>
        <v>0</v>
      </c>
      <c r="W224">
        <f t="array" ref="W224">IFERROR(CONCATENATE((INDEX($Z$7:$Z$165,SMALL(IF($Z$7:$Z$165&lt;&gt;"",IF($W$7:$W$165&lt;&gt;"",ROW($W$7:$W$165)-MIN(ROW($W$7:$W$165))+1,""),""),ROW()-ROW(A$167)+1))),","),"")</f>
        <v>0</v>
      </c>
      <c r="X224">
        <f t="array" ref="X224">IFERROR(CONCATENATE(TEXT(INDEX($W$7:$W$165,SMALL(IF($Z$7:$Z$165&lt;&gt;"",IF($W$7:$W$165&lt;&gt;"",ROW($W$7:$W$165)-MIN(ROW($W$7:$W$165))+1,""),""),ROW()-ROW(A$167)+1)),"##0"),","),"")</f>
        <v>0</v>
      </c>
      <c r="Y224">
        <f t="array" ref="Y224">IFERROR(CONCATENATE((INDEX($A$7:$A$165,SMALL(IF($Z$7:$Z$165&lt;&gt;"",IF($W$7:$W$165&lt;&gt;"",ROW($W$7:$W$165)-MIN(ROW($W$7:$W$165))+1,""),""),ROW()-ROW(A$167)+1))),),"")</f>
        <v>0</v>
      </c>
    </row>
    <row r="225" spans="11:25">
      <c r="K225">
        <f t="array" ref="K225">IFERROR(CONCATENATE(TEXT(INDEX($K$7:$K$165,SMALL(IF($N$7:$N$165&lt;&gt;"",IF($K$7:$K$165&lt;&gt;"",ROW($K$7:$K$165)-MIN(ROW($K$7:$K$165))+1,""),""),ROW()-ROW(A$167)+1)),"##0"),","),"")</f>
        <v>0</v>
      </c>
      <c r="L225">
        <f t="array" ref="L225">IFERROR(CONCATENATE((INDEX($N$7:$N$165,SMALL(IF($N$7:$N$165&lt;&gt;"",IF($K$7:$K$165&lt;&gt;"",ROW($K$7:$K$165)-MIN(ROW($K$7:$K$165))+1,""),""),ROW()-ROW(A$167)+1))),","),"")</f>
        <v>0</v>
      </c>
      <c r="M225">
        <f t="array" ref="M225">IFERROR(CONCATENATE((INDEX($A$7:$A$165,SMALL(IF($N$7:$N$165&lt;&gt;"",IF($K$7:$K$165&lt;&gt;"",ROW($K$7:$K$165)-MIN(ROW($K$7:$K$165))+1,""),""),ROW()-ROW(A$167)+1))),),"")</f>
        <v>0</v>
      </c>
      <c r="Q225">
        <f t="array" ref="Q225">IFERROR(CONCATENATE((INDEX($T$7:$T$165,SMALL(IF($T$7:$T$165&lt;&gt;"",IF($Q$7:$Q$165&lt;&gt;"",ROW($Q$7:$Q$165)-MIN(ROW($Q$7:$Q$165))+1,""),""),ROW()-ROW(A$167)+1)))," "),"")</f>
        <v>0</v>
      </c>
      <c r="R225">
        <f t="array" ref="R225">IFERROR(CONCATENATE(TEXT(INDEX($Q$7:$Q$165,SMALL(IF($T$7:$T$165&lt;&gt;"",IF($Q$7:$Q$165&lt;&gt;"",ROW($Q$7:$Q$165)-MIN(ROW($Q$7:$Q$165))+1,""),""),ROW()-ROW(A$167)+1)),"##0")," "),"")</f>
        <v>0</v>
      </c>
      <c r="S225">
        <f t="array" ref="S225">IFERROR(CONCATENATE((INDEX($A$7:$A$165,SMALL(IF($T$7:$T$165&lt;&gt;"",IF($Q$7:$Q$165&lt;&gt;"",ROW($Q$7:$Q$165)-MIN(ROW($Q$7:$Q$165))+1,""),""),ROW()-ROW(A$167)+1))),),"")</f>
        <v>0</v>
      </c>
      <c r="W225">
        <f t="array" ref="W225">IFERROR(CONCATENATE((INDEX($Z$7:$Z$165,SMALL(IF($Z$7:$Z$165&lt;&gt;"",IF($W$7:$W$165&lt;&gt;"",ROW($W$7:$W$165)-MIN(ROW($W$7:$W$165))+1,""),""),ROW()-ROW(A$167)+1))),","),"")</f>
        <v>0</v>
      </c>
      <c r="X225">
        <f t="array" ref="X225">IFERROR(CONCATENATE(TEXT(INDEX($W$7:$W$165,SMALL(IF($Z$7:$Z$165&lt;&gt;"",IF($W$7:$W$165&lt;&gt;"",ROW($W$7:$W$165)-MIN(ROW($W$7:$W$165))+1,""),""),ROW()-ROW(A$167)+1)),"##0"),","),"")</f>
        <v>0</v>
      </c>
      <c r="Y225">
        <f t="array" ref="Y225">IFERROR(CONCATENATE((INDEX($A$7:$A$165,SMALL(IF($Z$7:$Z$165&lt;&gt;"",IF($W$7:$W$165&lt;&gt;"",ROW($W$7:$W$165)-MIN(ROW($W$7:$W$165))+1,""),""),ROW()-ROW(A$167)+1))),),"")</f>
        <v>0</v>
      </c>
    </row>
    <row r="226" spans="11:25">
      <c r="K226">
        <f t="array" ref="K226">IFERROR(CONCATENATE(TEXT(INDEX($K$7:$K$165,SMALL(IF($N$7:$N$165&lt;&gt;"",IF($K$7:$K$165&lt;&gt;"",ROW($K$7:$K$165)-MIN(ROW($K$7:$K$165))+1,""),""),ROW()-ROW(A$167)+1)),"##0"),","),"")</f>
        <v>0</v>
      </c>
      <c r="L226">
        <f t="array" ref="L226">IFERROR(CONCATENATE((INDEX($N$7:$N$165,SMALL(IF($N$7:$N$165&lt;&gt;"",IF($K$7:$K$165&lt;&gt;"",ROW($K$7:$K$165)-MIN(ROW($K$7:$K$165))+1,""),""),ROW()-ROW(A$167)+1))),","),"")</f>
        <v>0</v>
      </c>
      <c r="M226">
        <f t="array" ref="M226">IFERROR(CONCATENATE((INDEX($A$7:$A$165,SMALL(IF($N$7:$N$165&lt;&gt;"",IF($K$7:$K$165&lt;&gt;"",ROW($K$7:$K$165)-MIN(ROW($K$7:$K$165))+1,""),""),ROW()-ROW(A$167)+1))),),"")</f>
        <v>0</v>
      </c>
      <c r="Q226">
        <f t="array" ref="Q226">IFERROR(CONCATENATE((INDEX($T$7:$T$165,SMALL(IF($T$7:$T$165&lt;&gt;"",IF($Q$7:$Q$165&lt;&gt;"",ROW($Q$7:$Q$165)-MIN(ROW($Q$7:$Q$165))+1,""),""),ROW()-ROW(A$167)+1)))," "),"")</f>
        <v>0</v>
      </c>
      <c r="R226">
        <f t="array" ref="R226">IFERROR(CONCATENATE(TEXT(INDEX($Q$7:$Q$165,SMALL(IF($T$7:$T$165&lt;&gt;"",IF($Q$7:$Q$165&lt;&gt;"",ROW($Q$7:$Q$165)-MIN(ROW($Q$7:$Q$165))+1,""),""),ROW()-ROW(A$167)+1)),"##0")," "),"")</f>
        <v>0</v>
      </c>
      <c r="S226">
        <f t="array" ref="S226">IFERROR(CONCATENATE((INDEX($A$7:$A$165,SMALL(IF($T$7:$T$165&lt;&gt;"",IF($Q$7:$Q$165&lt;&gt;"",ROW($Q$7:$Q$165)-MIN(ROW($Q$7:$Q$165))+1,""),""),ROW()-ROW(A$167)+1))),),"")</f>
        <v>0</v>
      </c>
      <c r="W226">
        <f t="array" ref="W226">IFERROR(CONCATENATE((INDEX($Z$7:$Z$165,SMALL(IF($Z$7:$Z$165&lt;&gt;"",IF($W$7:$W$165&lt;&gt;"",ROW($W$7:$W$165)-MIN(ROW($W$7:$W$165))+1,""),""),ROW()-ROW(A$167)+1))),","),"")</f>
        <v>0</v>
      </c>
      <c r="X226">
        <f t="array" ref="X226">IFERROR(CONCATENATE(TEXT(INDEX($W$7:$W$165,SMALL(IF($Z$7:$Z$165&lt;&gt;"",IF($W$7:$W$165&lt;&gt;"",ROW($W$7:$W$165)-MIN(ROW($W$7:$W$165))+1,""),""),ROW()-ROW(A$167)+1)),"##0"),","),"")</f>
        <v>0</v>
      </c>
      <c r="Y226">
        <f t="array" ref="Y226">IFERROR(CONCATENATE((INDEX($A$7:$A$165,SMALL(IF($Z$7:$Z$165&lt;&gt;"",IF($W$7:$W$165&lt;&gt;"",ROW($W$7:$W$165)-MIN(ROW($W$7:$W$165))+1,""),""),ROW()-ROW(A$167)+1))),),"")</f>
        <v>0</v>
      </c>
    </row>
    <row r="227" spans="11:25">
      <c r="K227">
        <f t="array" ref="K227">IFERROR(CONCATENATE(TEXT(INDEX($K$7:$K$165,SMALL(IF($N$7:$N$165&lt;&gt;"",IF($K$7:$K$165&lt;&gt;"",ROW($K$7:$K$165)-MIN(ROW($K$7:$K$165))+1,""),""),ROW()-ROW(A$167)+1)),"##0"),","),"")</f>
        <v>0</v>
      </c>
      <c r="L227">
        <f t="array" ref="L227">IFERROR(CONCATENATE((INDEX($N$7:$N$165,SMALL(IF($N$7:$N$165&lt;&gt;"",IF($K$7:$K$165&lt;&gt;"",ROW($K$7:$K$165)-MIN(ROW($K$7:$K$165))+1,""),""),ROW()-ROW(A$167)+1))),","),"")</f>
        <v>0</v>
      </c>
      <c r="M227">
        <f t="array" ref="M227">IFERROR(CONCATENATE((INDEX($A$7:$A$165,SMALL(IF($N$7:$N$165&lt;&gt;"",IF($K$7:$K$165&lt;&gt;"",ROW($K$7:$K$165)-MIN(ROW($K$7:$K$165))+1,""),""),ROW()-ROW(A$167)+1))),),"")</f>
        <v>0</v>
      </c>
      <c r="Q227">
        <f t="array" ref="Q227">IFERROR(CONCATENATE((INDEX($T$7:$T$165,SMALL(IF($T$7:$T$165&lt;&gt;"",IF($Q$7:$Q$165&lt;&gt;"",ROW($Q$7:$Q$165)-MIN(ROW($Q$7:$Q$165))+1,""),""),ROW()-ROW(A$167)+1)))," "),"")</f>
        <v>0</v>
      </c>
      <c r="R227">
        <f t="array" ref="R227">IFERROR(CONCATENATE(TEXT(INDEX($Q$7:$Q$165,SMALL(IF($T$7:$T$165&lt;&gt;"",IF($Q$7:$Q$165&lt;&gt;"",ROW($Q$7:$Q$165)-MIN(ROW($Q$7:$Q$165))+1,""),""),ROW()-ROW(A$167)+1)),"##0")," "),"")</f>
        <v>0</v>
      </c>
      <c r="S227">
        <f t="array" ref="S227">IFERROR(CONCATENATE((INDEX($A$7:$A$165,SMALL(IF($T$7:$T$165&lt;&gt;"",IF($Q$7:$Q$165&lt;&gt;"",ROW($Q$7:$Q$165)-MIN(ROW($Q$7:$Q$165))+1,""),""),ROW()-ROW(A$167)+1))),),"")</f>
        <v>0</v>
      </c>
      <c r="W227">
        <f t="array" ref="W227">IFERROR(CONCATENATE((INDEX($Z$7:$Z$165,SMALL(IF($Z$7:$Z$165&lt;&gt;"",IF($W$7:$W$165&lt;&gt;"",ROW($W$7:$W$165)-MIN(ROW($W$7:$W$165))+1,""),""),ROW()-ROW(A$167)+1))),","),"")</f>
        <v>0</v>
      </c>
      <c r="X227">
        <f t="array" ref="X227">IFERROR(CONCATENATE(TEXT(INDEX($W$7:$W$165,SMALL(IF($Z$7:$Z$165&lt;&gt;"",IF($W$7:$W$165&lt;&gt;"",ROW($W$7:$W$165)-MIN(ROW($W$7:$W$165))+1,""),""),ROW()-ROW(A$167)+1)),"##0"),","),"")</f>
        <v>0</v>
      </c>
      <c r="Y227">
        <f t="array" ref="Y227">IFERROR(CONCATENATE((INDEX($A$7:$A$165,SMALL(IF($Z$7:$Z$165&lt;&gt;"",IF($W$7:$W$165&lt;&gt;"",ROW($W$7:$W$165)-MIN(ROW($W$7:$W$165))+1,""),""),ROW()-ROW(A$167)+1))),),"")</f>
        <v>0</v>
      </c>
    </row>
    <row r="228" spans="11:25">
      <c r="K228">
        <f t="array" ref="K228">IFERROR(CONCATENATE(TEXT(INDEX($K$7:$K$165,SMALL(IF($N$7:$N$165&lt;&gt;"",IF($K$7:$K$165&lt;&gt;"",ROW($K$7:$K$165)-MIN(ROW($K$7:$K$165))+1,""),""),ROW()-ROW(A$167)+1)),"##0"),","),"")</f>
        <v>0</v>
      </c>
      <c r="L228">
        <f t="array" ref="L228">IFERROR(CONCATENATE((INDEX($N$7:$N$165,SMALL(IF($N$7:$N$165&lt;&gt;"",IF($K$7:$K$165&lt;&gt;"",ROW($K$7:$K$165)-MIN(ROW($K$7:$K$165))+1,""),""),ROW()-ROW(A$167)+1))),","),"")</f>
        <v>0</v>
      </c>
      <c r="M228">
        <f t="array" ref="M228">IFERROR(CONCATENATE((INDEX($A$7:$A$165,SMALL(IF($N$7:$N$165&lt;&gt;"",IF($K$7:$K$165&lt;&gt;"",ROW($K$7:$K$165)-MIN(ROW($K$7:$K$165))+1,""),""),ROW()-ROW(A$167)+1))),),"")</f>
        <v>0</v>
      </c>
      <c r="Q228">
        <f t="array" ref="Q228">IFERROR(CONCATENATE((INDEX($T$7:$T$165,SMALL(IF($T$7:$T$165&lt;&gt;"",IF($Q$7:$Q$165&lt;&gt;"",ROW($Q$7:$Q$165)-MIN(ROW($Q$7:$Q$165))+1,""),""),ROW()-ROW(A$167)+1)))," "),"")</f>
        <v>0</v>
      </c>
      <c r="R228">
        <f t="array" ref="R228">IFERROR(CONCATENATE(TEXT(INDEX($Q$7:$Q$165,SMALL(IF($T$7:$T$165&lt;&gt;"",IF($Q$7:$Q$165&lt;&gt;"",ROW($Q$7:$Q$165)-MIN(ROW($Q$7:$Q$165))+1,""),""),ROW()-ROW(A$167)+1)),"##0")," "),"")</f>
        <v>0</v>
      </c>
      <c r="S228">
        <f t="array" ref="S228">IFERROR(CONCATENATE((INDEX($A$7:$A$165,SMALL(IF($T$7:$T$165&lt;&gt;"",IF($Q$7:$Q$165&lt;&gt;"",ROW($Q$7:$Q$165)-MIN(ROW($Q$7:$Q$165))+1,""),""),ROW()-ROW(A$167)+1))),),"")</f>
        <v>0</v>
      </c>
      <c r="W228">
        <f t="array" ref="W228">IFERROR(CONCATENATE((INDEX($Z$7:$Z$165,SMALL(IF($Z$7:$Z$165&lt;&gt;"",IF($W$7:$W$165&lt;&gt;"",ROW($W$7:$W$165)-MIN(ROW($W$7:$W$165))+1,""),""),ROW()-ROW(A$167)+1))),","),"")</f>
        <v>0</v>
      </c>
      <c r="X228">
        <f t="array" ref="X228">IFERROR(CONCATENATE(TEXT(INDEX($W$7:$W$165,SMALL(IF($Z$7:$Z$165&lt;&gt;"",IF($W$7:$W$165&lt;&gt;"",ROW($W$7:$W$165)-MIN(ROW($W$7:$W$165))+1,""),""),ROW()-ROW(A$167)+1)),"##0"),","),"")</f>
        <v>0</v>
      </c>
      <c r="Y228">
        <f t="array" ref="Y228">IFERROR(CONCATENATE((INDEX($A$7:$A$165,SMALL(IF($Z$7:$Z$165&lt;&gt;"",IF($W$7:$W$165&lt;&gt;"",ROW($W$7:$W$165)-MIN(ROW($W$7:$W$165))+1,""),""),ROW()-ROW(A$167)+1))),),"")</f>
        <v>0</v>
      </c>
    </row>
    <row r="229" spans="11:25">
      <c r="K229">
        <f t="array" ref="K229">IFERROR(CONCATENATE(TEXT(INDEX($K$7:$K$165,SMALL(IF($N$7:$N$165&lt;&gt;"",IF($K$7:$K$165&lt;&gt;"",ROW($K$7:$K$165)-MIN(ROW($K$7:$K$165))+1,""),""),ROW()-ROW(A$167)+1)),"##0"),","),"")</f>
        <v>0</v>
      </c>
      <c r="L229">
        <f t="array" ref="L229">IFERROR(CONCATENATE((INDEX($N$7:$N$165,SMALL(IF($N$7:$N$165&lt;&gt;"",IF($K$7:$K$165&lt;&gt;"",ROW($K$7:$K$165)-MIN(ROW($K$7:$K$165))+1,""),""),ROW()-ROW(A$167)+1))),","),"")</f>
        <v>0</v>
      </c>
      <c r="M229">
        <f t="array" ref="M229">IFERROR(CONCATENATE((INDEX($A$7:$A$165,SMALL(IF($N$7:$N$165&lt;&gt;"",IF($K$7:$K$165&lt;&gt;"",ROW($K$7:$K$165)-MIN(ROW($K$7:$K$165))+1,""),""),ROW()-ROW(A$167)+1))),),"")</f>
        <v>0</v>
      </c>
      <c r="Q229">
        <f t="array" ref="Q229">IFERROR(CONCATENATE((INDEX($T$7:$T$165,SMALL(IF($T$7:$T$165&lt;&gt;"",IF($Q$7:$Q$165&lt;&gt;"",ROW($Q$7:$Q$165)-MIN(ROW($Q$7:$Q$165))+1,""),""),ROW()-ROW(A$167)+1)))," "),"")</f>
        <v>0</v>
      </c>
      <c r="R229">
        <f t="array" ref="R229">IFERROR(CONCATENATE(TEXT(INDEX($Q$7:$Q$165,SMALL(IF($T$7:$T$165&lt;&gt;"",IF($Q$7:$Q$165&lt;&gt;"",ROW($Q$7:$Q$165)-MIN(ROW($Q$7:$Q$165))+1,""),""),ROW()-ROW(A$167)+1)),"##0")," "),"")</f>
        <v>0</v>
      </c>
      <c r="S229">
        <f t="array" ref="S229">IFERROR(CONCATENATE((INDEX($A$7:$A$165,SMALL(IF($T$7:$T$165&lt;&gt;"",IF($Q$7:$Q$165&lt;&gt;"",ROW($Q$7:$Q$165)-MIN(ROW($Q$7:$Q$165))+1,""),""),ROW()-ROW(A$167)+1))),),"")</f>
        <v>0</v>
      </c>
      <c r="W229">
        <f t="array" ref="W229">IFERROR(CONCATENATE((INDEX($Z$7:$Z$165,SMALL(IF($Z$7:$Z$165&lt;&gt;"",IF($W$7:$W$165&lt;&gt;"",ROW($W$7:$W$165)-MIN(ROW($W$7:$W$165))+1,""),""),ROW()-ROW(A$167)+1))),","),"")</f>
        <v>0</v>
      </c>
      <c r="X229">
        <f t="array" ref="X229">IFERROR(CONCATENATE(TEXT(INDEX($W$7:$W$165,SMALL(IF($Z$7:$Z$165&lt;&gt;"",IF($W$7:$W$165&lt;&gt;"",ROW($W$7:$W$165)-MIN(ROW($W$7:$W$165))+1,""),""),ROW()-ROW(A$167)+1)),"##0"),","),"")</f>
        <v>0</v>
      </c>
      <c r="Y229">
        <f t="array" ref="Y229">IFERROR(CONCATENATE((INDEX($A$7:$A$165,SMALL(IF($Z$7:$Z$165&lt;&gt;"",IF($W$7:$W$165&lt;&gt;"",ROW($W$7:$W$165)-MIN(ROW($W$7:$W$165))+1,""),""),ROW()-ROW(A$167)+1))),),"")</f>
        <v>0</v>
      </c>
    </row>
    <row r="230" spans="11:25">
      <c r="K230">
        <f t="array" ref="K230">IFERROR(CONCATENATE(TEXT(INDEX($K$7:$K$165,SMALL(IF($N$7:$N$165&lt;&gt;"",IF($K$7:$K$165&lt;&gt;"",ROW($K$7:$K$165)-MIN(ROW($K$7:$K$165))+1,""),""),ROW()-ROW(A$167)+1)),"##0"),","),"")</f>
        <v>0</v>
      </c>
      <c r="L230">
        <f t="array" ref="L230">IFERROR(CONCATENATE((INDEX($N$7:$N$165,SMALL(IF($N$7:$N$165&lt;&gt;"",IF($K$7:$K$165&lt;&gt;"",ROW($K$7:$K$165)-MIN(ROW($K$7:$K$165))+1,""),""),ROW()-ROW(A$167)+1))),","),"")</f>
        <v>0</v>
      </c>
      <c r="M230">
        <f t="array" ref="M230">IFERROR(CONCATENATE((INDEX($A$7:$A$165,SMALL(IF($N$7:$N$165&lt;&gt;"",IF($K$7:$K$165&lt;&gt;"",ROW($K$7:$K$165)-MIN(ROW($K$7:$K$165))+1,""),""),ROW()-ROW(A$167)+1))),),"")</f>
        <v>0</v>
      </c>
      <c r="Q230">
        <f t="array" ref="Q230">IFERROR(CONCATENATE((INDEX($T$7:$T$165,SMALL(IF($T$7:$T$165&lt;&gt;"",IF($Q$7:$Q$165&lt;&gt;"",ROW($Q$7:$Q$165)-MIN(ROW($Q$7:$Q$165))+1,""),""),ROW()-ROW(A$167)+1)))," "),"")</f>
        <v>0</v>
      </c>
      <c r="R230">
        <f t="array" ref="R230">IFERROR(CONCATENATE(TEXT(INDEX($Q$7:$Q$165,SMALL(IF($T$7:$T$165&lt;&gt;"",IF($Q$7:$Q$165&lt;&gt;"",ROW($Q$7:$Q$165)-MIN(ROW($Q$7:$Q$165))+1,""),""),ROW()-ROW(A$167)+1)),"##0")," "),"")</f>
        <v>0</v>
      </c>
      <c r="S230">
        <f t="array" ref="S230">IFERROR(CONCATENATE((INDEX($A$7:$A$165,SMALL(IF($T$7:$T$165&lt;&gt;"",IF($Q$7:$Q$165&lt;&gt;"",ROW($Q$7:$Q$165)-MIN(ROW($Q$7:$Q$165))+1,""),""),ROW()-ROW(A$167)+1))),),"")</f>
        <v>0</v>
      </c>
      <c r="W230">
        <f t="array" ref="W230">IFERROR(CONCATENATE((INDEX($Z$7:$Z$165,SMALL(IF($Z$7:$Z$165&lt;&gt;"",IF($W$7:$W$165&lt;&gt;"",ROW($W$7:$W$165)-MIN(ROW($W$7:$W$165))+1,""),""),ROW()-ROW(A$167)+1))),","),"")</f>
        <v>0</v>
      </c>
      <c r="X230">
        <f t="array" ref="X230">IFERROR(CONCATENATE(TEXT(INDEX($W$7:$W$165,SMALL(IF($Z$7:$Z$165&lt;&gt;"",IF($W$7:$W$165&lt;&gt;"",ROW($W$7:$W$165)-MIN(ROW($W$7:$W$165))+1,""),""),ROW()-ROW(A$167)+1)),"##0"),","),"")</f>
        <v>0</v>
      </c>
      <c r="Y230">
        <f t="array" ref="Y230">IFERROR(CONCATENATE((INDEX($A$7:$A$165,SMALL(IF($Z$7:$Z$165&lt;&gt;"",IF($W$7:$W$165&lt;&gt;"",ROW($W$7:$W$165)-MIN(ROW($W$7:$W$165))+1,""),""),ROW()-ROW(A$167)+1))),),"")</f>
        <v>0</v>
      </c>
    </row>
    <row r="231" spans="11:25">
      <c r="K231">
        <f t="array" ref="K231">IFERROR(CONCATENATE(TEXT(INDEX($K$7:$K$165,SMALL(IF($N$7:$N$165&lt;&gt;"",IF($K$7:$K$165&lt;&gt;"",ROW($K$7:$K$165)-MIN(ROW($K$7:$K$165))+1,""),""),ROW()-ROW(A$167)+1)),"##0"),","),"")</f>
        <v>0</v>
      </c>
      <c r="L231">
        <f t="array" ref="L231">IFERROR(CONCATENATE((INDEX($N$7:$N$165,SMALL(IF($N$7:$N$165&lt;&gt;"",IF($K$7:$K$165&lt;&gt;"",ROW($K$7:$K$165)-MIN(ROW($K$7:$K$165))+1,""),""),ROW()-ROW(A$167)+1))),","),"")</f>
        <v>0</v>
      </c>
      <c r="M231">
        <f t="array" ref="M231">IFERROR(CONCATENATE((INDEX($A$7:$A$165,SMALL(IF($N$7:$N$165&lt;&gt;"",IF($K$7:$K$165&lt;&gt;"",ROW($K$7:$K$165)-MIN(ROW($K$7:$K$165))+1,""),""),ROW()-ROW(A$167)+1))),),"")</f>
        <v>0</v>
      </c>
      <c r="Q231">
        <f t="array" ref="Q231">IFERROR(CONCATENATE((INDEX($T$7:$T$165,SMALL(IF($T$7:$T$165&lt;&gt;"",IF($Q$7:$Q$165&lt;&gt;"",ROW($Q$7:$Q$165)-MIN(ROW($Q$7:$Q$165))+1,""),""),ROW()-ROW(A$167)+1)))," "),"")</f>
        <v>0</v>
      </c>
      <c r="R231">
        <f t="array" ref="R231">IFERROR(CONCATENATE(TEXT(INDEX($Q$7:$Q$165,SMALL(IF($T$7:$T$165&lt;&gt;"",IF($Q$7:$Q$165&lt;&gt;"",ROW($Q$7:$Q$165)-MIN(ROW($Q$7:$Q$165))+1,""),""),ROW()-ROW(A$167)+1)),"##0")," "),"")</f>
        <v>0</v>
      </c>
      <c r="S231">
        <f t="array" ref="S231">IFERROR(CONCATENATE((INDEX($A$7:$A$165,SMALL(IF($T$7:$T$165&lt;&gt;"",IF($Q$7:$Q$165&lt;&gt;"",ROW($Q$7:$Q$165)-MIN(ROW($Q$7:$Q$165))+1,""),""),ROW()-ROW(A$167)+1))),),"")</f>
        <v>0</v>
      </c>
      <c r="W231">
        <f t="array" ref="W231">IFERROR(CONCATENATE((INDEX($Z$7:$Z$165,SMALL(IF($Z$7:$Z$165&lt;&gt;"",IF($W$7:$W$165&lt;&gt;"",ROW($W$7:$W$165)-MIN(ROW($W$7:$W$165))+1,""),""),ROW()-ROW(A$167)+1))),","),"")</f>
        <v>0</v>
      </c>
      <c r="X231">
        <f t="array" ref="X231">IFERROR(CONCATENATE(TEXT(INDEX($W$7:$W$165,SMALL(IF($Z$7:$Z$165&lt;&gt;"",IF($W$7:$W$165&lt;&gt;"",ROW($W$7:$W$165)-MIN(ROW($W$7:$W$165))+1,""),""),ROW()-ROW(A$167)+1)),"##0"),","),"")</f>
        <v>0</v>
      </c>
      <c r="Y231">
        <f t="array" ref="Y231">IFERROR(CONCATENATE((INDEX($A$7:$A$165,SMALL(IF($Z$7:$Z$165&lt;&gt;"",IF($W$7:$W$165&lt;&gt;"",ROW($W$7:$W$165)-MIN(ROW($W$7:$W$165))+1,""),""),ROW()-ROW(A$167)+1))),),"")</f>
        <v>0</v>
      </c>
    </row>
    <row r="232" spans="11:25">
      <c r="K232">
        <f t="array" ref="K232">IFERROR(CONCATENATE(TEXT(INDEX($K$7:$K$165,SMALL(IF($N$7:$N$165&lt;&gt;"",IF($K$7:$K$165&lt;&gt;"",ROW($K$7:$K$165)-MIN(ROW($K$7:$K$165))+1,""),""),ROW()-ROW(A$167)+1)),"##0"),","),"")</f>
        <v>0</v>
      </c>
      <c r="L232">
        <f t="array" ref="L232">IFERROR(CONCATENATE((INDEX($N$7:$N$165,SMALL(IF($N$7:$N$165&lt;&gt;"",IF($K$7:$K$165&lt;&gt;"",ROW($K$7:$K$165)-MIN(ROW($K$7:$K$165))+1,""),""),ROW()-ROW(A$167)+1))),","),"")</f>
        <v>0</v>
      </c>
      <c r="M232">
        <f t="array" ref="M232">IFERROR(CONCATENATE((INDEX($A$7:$A$165,SMALL(IF($N$7:$N$165&lt;&gt;"",IF($K$7:$K$165&lt;&gt;"",ROW($K$7:$K$165)-MIN(ROW($K$7:$K$165))+1,""),""),ROW()-ROW(A$167)+1))),),"")</f>
        <v>0</v>
      </c>
      <c r="Q232">
        <f t="array" ref="Q232">IFERROR(CONCATENATE((INDEX($T$7:$T$165,SMALL(IF($T$7:$T$165&lt;&gt;"",IF($Q$7:$Q$165&lt;&gt;"",ROW($Q$7:$Q$165)-MIN(ROW($Q$7:$Q$165))+1,""),""),ROW()-ROW(A$167)+1)))," "),"")</f>
        <v>0</v>
      </c>
      <c r="R232">
        <f t="array" ref="R232">IFERROR(CONCATENATE(TEXT(INDEX($Q$7:$Q$165,SMALL(IF($T$7:$T$165&lt;&gt;"",IF($Q$7:$Q$165&lt;&gt;"",ROW($Q$7:$Q$165)-MIN(ROW($Q$7:$Q$165))+1,""),""),ROW()-ROW(A$167)+1)),"##0")," "),"")</f>
        <v>0</v>
      </c>
      <c r="S232">
        <f t="array" ref="S232">IFERROR(CONCATENATE((INDEX($A$7:$A$165,SMALL(IF($T$7:$T$165&lt;&gt;"",IF($Q$7:$Q$165&lt;&gt;"",ROW($Q$7:$Q$165)-MIN(ROW($Q$7:$Q$165))+1,""),""),ROW()-ROW(A$167)+1))),),"")</f>
        <v>0</v>
      </c>
      <c r="W232">
        <f t="array" ref="W232">IFERROR(CONCATENATE((INDEX($Z$7:$Z$165,SMALL(IF($Z$7:$Z$165&lt;&gt;"",IF($W$7:$W$165&lt;&gt;"",ROW($W$7:$W$165)-MIN(ROW($W$7:$W$165))+1,""),""),ROW()-ROW(A$167)+1))),","),"")</f>
        <v>0</v>
      </c>
      <c r="X232">
        <f t="array" ref="X232">IFERROR(CONCATENATE(TEXT(INDEX($W$7:$W$165,SMALL(IF($Z$7:$Z$165&lt;&gt;"",IF($W$7:$W$165&lt;&gt;"",ROW($W$7:$W$165)-MIN(ROW($W$7:$W$165))+1,""),""),ROW()-ROW(A$167)+1)),"##0"),","),"")</f>
        <v>0</v>
      </c>
      <c r="Y232">
        <f t="array" ref="Y232">IFERROR(CONCATENATE((INDEX($A$7:$A$165,SMALL(IF($Z$7:$Z$165&lt;&gt;"",IF($W$7:$W$165&lt;&gt;"",ROW($W$7:$W$165)-MIN(ROW($W$7:$W$165))+1,""),""),ROW()-ROW(A$167)+1))),),"")</f>
        <v>0</v>
      </c>
    </row>
    <row r="233" spans="11:25">
      <c r="K233">
        <f t="array" ref="K233">IFERROR(CONCATENATE(TEXT(INDEX($K$7:$K$165,SMALL(IF($N$7:$N$165&lt;&gt;"",IF($K$7:$K$165&lt;&gt;"",ROW($K$7:$K$165)-MIN(ROW($K$7:$K$165))+1,""),""),ROW()-ROW(A$167)+1)),"##0"),","),"")</f>
        <v>0</v>
      </c>
      <c r="L233">
        <f t="array" ref="L233">IFERROR(CONCATENATE((INDEX($N$7:$N$165,SMALL(IF($N$7:$N$165&lt;&gt;"",IF($K$7:$K$165&lt;&gt;"",ROW($K$7:$K$165)-MIN(ROW($K$7:$K$165))+1,""),""),ROW()-ROW(A$167)+1))),","),"")</f>
        <v>0</v>
      </c>
      <c r="M233">
        <f t="array" ref="M233">IFERROR(CONCATENATE((INDEX($A$7:$A$165,SMALL(IF($N$7:$N$165&lt;&gt;"",IF($K$7:$K$165&lt;&gt;"",ROW($K$7:$K$165)-MIN(ROW($K$7:$K$165))+1,""),""),ROW()-ROW(A$167)+1))),),"")</f>
        <v>0</v>
      </c>
      <c r="Q233">
        <f t="array" ref="Q233">IFERROR(CONCATENATE((INDEX($T$7:$T$165,SMALL(IF($T$7:$T$165&lt;&gt;"",IF($Q$7:$Q$165&lt;&gt;"",ROW($Q$7:$Q$165)-MIN(ROW($Q$7:$Q$165))+1,""),""),ROW()-ROW(A$167)+1)))," "),"")</f>
        <v>0</v>
      </c>
      <c r="R233">
        <f t="array" ref="R233">IFERROR(CONCATENATE(TEXT(INDEX($Q$7:$Q$165,SMALL(IF($T$7:$T$165&lt;&gt;"",IF($Q$7:$Q$165&lt;&gt;"",ROW($Q$7:$Q$165)-MIN(ROW($Q$7:$Q$165))+1,""),""),ROW()-ROW(A$167)+1)),"##0")," "),"")</f>
        <v>0</v>
      </c>
      <c r="S233">
        <f t="array" ref="S233">IFERROR(CONCATENATE((INDEX($A$7:$A$165,SMALL(IF($T$7:$T$165&lt;&gt;"",IF($Q$7:$Q$165&lt;&gt;"",ROW($Q$7:$Q$165)-MIN(ROW($Q$7:$Q$165))+1,""),""),ROW()-ROW(A$167)+1))),),"")</f>
        <v>0</v>
      </c>
      <c r="W233">
        <f t="array" ref="W233">IFERROR(CONCATENATE((INDEX($Z$7:$Z$165,SMALL(IF($Z$7:$Z$165&lt;&gt;"",IF($W$7:$W$165&lt;&gt;"",ROW($W$7:$W$165)-MIN(ROW($W$7:$W$165))+1,""),""),ROW()-ROW(A$167)+1))),","),"")</f>
        <v>0</v>
      </c>
      <c r="X233">
        <f t="array" ref="X233">IFERROR(CONCATENATE(TEXT(INDEX($W$7:$W$165,SMALL(IF($Z$7:$Z$165&lt;&gt;"",IF($W$7:$W$165&lt;&gt;"",ROW($W$7:$W$165)-MIN(ROW($W$7:$W$165))+1,""),""),ROW()-ROW(A$167)+1)),"##0"),","),"")</f>
        <v>0</v>
      </c>
      <c r="Y233">
        <f t="array" ref="Y233">IFERROR(CONCATENATE((INDEX($A$7:$A$165,SMALL(IF($Z$7:$Z$165&lt;&gt;"",IF($W$7:$W$165&lt;&gt;"",ROW($W$7:$W$165)-MIN(ROW($W$7:$W$165))+1,""),""),ROW()-ROW(A$167)+1))),),"")</f>
        <v>0</v>
      </c>
    </row>
    <row r="234" spans="11:25">
      <c r="K234">
        <f t="array" ref="K234">IFERROR(CONCATENATE(TEXT(INDEX($K$7:$K$165,SMALL(IF($N$7:$N$165&lt;&gt;"",IF($K$7:$K$165&lt;&gt;"",ROW($K$7:$K$165)-MIN(ROW($K$7:$K$165))+1,""),""),ROW()-ROW(A$167)+1)),"##0"),","),"")</f>
        <v>0</v>
      </c>
      <c r="L234">
        <f t="array" ref="L234">IFERROR(CONCATENATE((INDEX($N$7:$N$165,SMALL(IF($N$7:$N$165&lt;&gt;"",IF($K$7:$K$165&lt;&gt;"",ROW($K$7:$K$165)-MIN(ROW($K$7:$K$165))+1,""),""),ROW()-ROW(A$167)+1))),","),"")</f>
        <v>0</v>
      </c>
      <c r="M234">
        <f t="array" ref="M234">IFERROR(CONCATENATE((INDEX($A$7:$A$165,SMALL(IF($N$7:$N$165&lt;&gt;"",IF($K$7:$K$165&lt;&gt;"",ROW($K$7:$K$165)-MIN(ROW($K$7:$K$165))+1,""),""),ROW()-ROW(A$167)+1))),),"")</f>
        <v>0</v>
      </c>
      <c r="Q234">
        <f t="array" ref="Q234">IFERROR(CONCATENATE((INDEX($T$7:$T$165,SMALL(IF($T$7:$T$165&lt;&gt;"",IF($Q$7:$Q$165&lt;&gt;"",ROW($Q$7:$Q$165)-MIN(ROW($Q$7:$Q$165))+1,""),""),ROW()-ROW(A$167)+1)))," "),"")</f>
        <v>0</v>
      </c>
      <c r="R234">
        <f t="array" ref="R234">IFERROR(CONCATENATE(TEXT(INDEX($Q$7:$Q$165,SMALL(IF($T$7:$T$165&lt;&gt;"",IF($Q$7:$Q$165&lt;&gt;"",ROW($Q$7:$Q$165)-MIN(ROW($Q$7:$Q$165))+1,""),""),ROW()-ROW(A$167)+1)),"##0")," "),"")</f>
        <v>0</v>
      </c>
      <c r="S234">
        <f t="array" ref="S234">IFERROR(CONCATENATE((INDEX($A$7:$A$165,SMALL(IF($T$7:$T$165&lt;&gt;"",IF($Q$7:$Q$165&lt;&gt;"",ROW($Q$7:$Q$165)-MIN(ROW($Q$7:$Q$165))+1,""),""),ROW()-ROW(A$167)+1))),),"")</f>
        <v>0</v>
      </c>
      <c r="W234">
        <f t="array" ref="W234">IFERROR(CONCATENATE((INDEX($Z$7:$Z$165,SMALL(IF($Z$7:$Z$165&lt;&gt;"",IF($W$7:$W$165&lt;&gt;"",ROW($W$7:$W$165)-MIN(ROW($W$7:$W$165))+1,""),""),ROW()-ROW(A$167)+1))),","),"")</f>
        <v>0</v>
      </c>
      <c r="X234">
        <f t="array" ref="X234">IFERROR(CONCATENATE(TEXT(INDEX($W$7:$W$165,SMALL(IF($Z$7:$Z$165&lt;&gt;"",IF($W$7:$W$165&lt;&gt;"",ROW($W$7:$W$165)-MIN(ROW($W$7:$W$165))+1,""),""),ROW()-ROW(A$167)+1)),"##0"),","),"")</f>
        <v>0</v>
      </c>
      <c r="Y234">
        <f t="array" ref="Y234">IFERROR(CONCATENATE((INDEX($A$7:$A$165,SMALL(IF($Z$7:$Z$165&lt;&gt;"",IF($W$7:$W$165&lt;&gt;"",ROW($W$7:$W$165)-MIN(ROW($W$7:$W$165))+1,""),""),ROW()-ROW(A$167)+1))),),"")</f>
        <v>0</v>
      </c>
    </row>
    <row r="235" spans="11:25">
      <c r="K235">
        <f t="array" ref="K235">IFERROR(CONCATENATE(TEXT(INDEX($K$7:$K$165,SMALL(IF($N$7:$N$165&lt;&gt;"",IF($K$7:$K$165&lt;&gt;"",ROW($K$7:$K$165)-MIN(ROW($K$7:$K$165))+1,""),""),ROW()-ROW(A$167)+1)),"##0"),","),"")</f>
        <v>0</v>
      </c>
      <c r="L235">
        <f t="array" ref="L235">IFERROR(CONCATENATE((INDEX($N$7:$N$165,SMALL(IF($N$7:$N$165&lt;&gt;"",IF($K$7:$K$165&lt;&gt;"",ROW($K$7:$K$165)-MIN(ROW($K$7:$K$165))+1,""),""),ROW()-ROW(A$167)+1))),","),"")</f>
        <v>0</v>
      </c>
      <c r="M235">
        <f t="array" ref="M235">IFERROR(CONCATENATE((INDEX($A$7:$A$165,SMALL(IF($N$7:$N$165&lt;&gt;"",IF($K$7:$K$165&lt;&gt;"",ROW($K$7:$K$165)-MIN(ROW($K$7:$K$165))+1,""),""),ROW()-ROW(A$167)+1))),),"")</f>
        <v>0</v>
      </c>
      <c r="Q235">
        <f t="array" ref="Q235">IFERROR(CONCATENATE((INDEX($T$7:$T$165,SMALL(IF($T$7:$T$165&lt;&gt;"",IF($Q$7:$Q$165&lt;&gt;"",ROW($Q$7:$Q$165)-MIN(ROW($Q$7:$Q$165))+1,""),""),ROW()-ROW(A$167)+1)))," "),"")</f>
        <v>0</v>
      </c>
      <c r="R235">
        <f t="array" ref="R235">IFERROR(CONCATENATE(TEXT(INDEX($Q$7:$Q$165,SMALL(IF($T$7:$T$165&lt;&gt;"",IF($Q$7:$Q$165&lt;&gt;"",ROW($Q$7:$Q$165)-MIN(ROW($Q$7:$Q$165))+1,""),""),ROW()-ROW(A$167)+1)),"##0")," "),"")</f>
        <v>0</v>
      </c>
      <c r="S235">
        <f t="array" ref="S235">IFERROR(CONCATENATE((INDEX($A$7:$A$165,SMALL(IF($T$7:$T$165&lt;&gt;"",IF($Q$7:$Q$165&lt;&gt;"",ROW($Q$7:$Q$165)-MIN(ROW($Q$7:$Q$165))+1,""),""),ROW()-ROW(A$167)+1))),),"")</f>
        <v>0</v>
      </c>
      <c r="W235">
        <f t="array" ref="W235">IFERROR(CONCATENATE((INDEX($Z$7:$Z$165,SMALL(IF($Z$7:$Z$165&lt;&gt;"",IF($W$7:$W$165&lt;&gt;"",ROW($W$7:$W$165)-MIN(ROW($W$7:$W$165))+1,""),""),ROW()-ROW(A$167)+1))),","),"")</f>
        <v>0</v>
      </c>
      <c r="X235">
        <f t="array" ref="X235">IFERROR(CONCATENATE(TEXT(INDEX($W$7:$W$165,SMALL(IF($Z$7:$Z$165&lt;&gt;"",IF($W$7:$W$165&lt;&gt;"",ROW($W$7:$W$165)-MIN(ROW($W$7:$W$165))+1,""),""),ROW()-ROW(A$167)+1)),"##0"),","),"")</f>
        <v>0</v>
      </c>
      <c r="Y235">
        <f t="array" ref="Y235">IFERROR(CONCATENATE((INDEX($A$7:$A$165,SMALL(IF($Z$7:$Z$165&lt;&gt;"",IF($W$7:$W$165&lt;&gt;"",ROW($W$7:$W$165)-MIN(ROW($W$7:$W$165))+1,""),""),ROW()-ROW(A$167)+1))),),"")</f>
        <v>0</v>
      </c>
    </row>
    <row r="236" spans="11:25">
      <c r="K236">
        <f t="array" ref="K236">IFERROR(CONCATENATE(TEXT(INDEX($K$7:$K$165,SMALL(IF($N$7:$N$165&lt;&gt;"",IF($K$7:$K$165&lt;&gt;"",ROW($K$7:$K$165)-MIN(ROW($K$7:$K$165))+1,""),""),ROW()-ROW(A$167)+1)),"##0"),","),"")</f>
        <v>0</v>
      </c>
      <c r="L236">
        <f t="array" ref="L236">IFERROR(CONCATENATE((INDEX($N$7:$N$165,SMALL(IF($N$7:$N$165&lt;&gt;"",IF($K$7:$K$165&lt;&gt;"",ROW($K$7:$K$165)-MIN(ROW($K$7:$K$165))+1,""),""),ROW()-ROW(A$167)+1))),","),"")</f>
        <v>0</v>
      </c>
      <c r="M236">
        <f t="array" ref="M236">IFERROR(CONCATENATE((INDEX($A$7:$A$165,SMALL(IF($N$7:$N$165&lt;&gt;"",IF($K$7:$K$165&lt;&gt;"",ROW($K$7:$K$165)-MIN(ROW($K$7:$K$165))+1,""),""),ROW()-ROW(A$167)+1))),),"")</f>
        <v>0</v>
      </c>
      <c r="Q236">
        <f t="array" ref="Q236">IFERROR(CONCATENATE((INDEX($T$7:$T$165,SMALL(IF($T$7:$T$165&lt;&gt;"",IF($Q$7:$Q$165&lt;&gt;"",ROW($Q$7:$Q$165)-MIN(ROW($Q$7:$Q$165))+1,""),""),ROW()-ROW(A$167)+1)))," "),"")</f>
        <v>0</v>
      </c>
      <c r="R236">
        <f t="array" ref="R236">IFERROR(CONCATENATE(TEXT(INDEX($Q$7:$Q$165,SMALL(IF($T$7:$T$165&lt;&gt;"",IF($Q$7:$Q$165&lt;&gt;"",ROW($Q$7:$Q$165)-MIN(ROW($Q$7:$Q$165))+1,""),""),ROW()-ROW(A$167)+1)),"##0")," "),"")</f>
        <v>0</v>
      </c>
      <c r="S236">
        <f t="array" ref="S236">IFERROR(CONCATENATE((INDEX($A$7:$A$165,SMALL(IF($T$7:$T$165&lt;&gt;"",IF($Q$7:$Q$165&lt;&gt;"",ROW($Q$7:$Q$165)-MIN(ROW($Q$7:$Q$165))+1,""),""),ROW()-ROW(A$167)+1))),),"")</f>
        <v>0</v>
      </c>
      <c r="W236">
        <f t="array" ref="W236">IFERROR(CONCATENATE((INDEX($Z$7:$Z$165,SMALL(IF($Z$7:$Z$165&lt;&gt;"",IF($W$7:$W$165&lt;&gt;"",ROW($W$7:$W$165)-MIN(ROW($W$7:$W$165))+1,""),""),ROW()-ROW(A$167)+1))),","),"")</f>
        <v>0</v>
      </c>
      <c r="X236">
        <f t="array" ref="X236">IFERROR(CONCATENATE(TEXT(INDEX($W$7:$W$165,SMALL(IF($Z$7:$Z$165&lt;&gt;"",IF($W$7:$W$165&lt;&gt;"",ROW($W$7:$W$165)-MIN(ROW($W$7:$W$165))+1,""),""),ROW()-ROW(A$167)+1)),"##0"),","),"")</f>
        <v>0</v>
      </c>
      <c r="Y236">
        <f t="array" ref="Y236">IFERROR(CONCATENATE((INDEX($A$7:$A$165,SMALL(IF($Z$7:$Z$165&lt;&gt;"",IF($W$7:$W$165&lt;&gt;"",ROW($W$7:$W$165)-MIN(ROW($W$7:$W$165))+1,""),""),ROW()-ROW(A$167)+1))),),"")</f>
        <v>0</v>
      </c>
    </row>
    <row r="237" spans="11:25">
      <c r="K237">
        <f t="array" ref="K237">IFERROR(CONCATENATE(TEXT(INDEX($K$7:$K$165,SMALL(IF($N$7:$N$165&lt;&gt;"",IF($K$7:$K$165&lt;&gt;"",ROW($K$7:$K$165)-MIN(ROW($K$7:$K$165))+1,""),""),ROW()-ROW(A$167)+1)),"##0"),","),"")</f>
        <v>0</v>
      </c>
      <c r="L237">
        <f t="array" ref="L237">IFERROR(CONCATENATE((INDEX($N$7:$N$165,SMALL(IF($N$7:$N$165&lt;&gt;"",IF($K$7:$K$165&lt;&gt;"",ROW($K$7:$K$165)-MIN(ROW($K$7:$K$165))+1,""),""),ROW()-ROW(A$167)+1))),","),"")</f>
        <v>0</v>
      </c>
      <c r="M237">
        <f t="array" ref="M237">IFERROR(CONCATENATE((INDEX($A$7:$A$165,SMALL(IF($N$7:$N$165&lt;&gt;"",IF($K$7:$K$165&lt;&gt;"",ROW($K$7:$K$165)-MIN(ROW($K$7:$K$165))+1,""),""),ROW()-ROW(A$167)+1))),),"")</f>
        <v>0</v>
      </c>
      <c r="Q237">
        <f t="array" ref="Q237">IFERROR(CONCATENATE((INDEX($T$7:$T$165,SMALL(IF($T$7:$T$165&lt;&gt;"",IF($Q$7:$Q$165&lt;&gt;"",ROW($Q$7:$Q$165)-MIN(ROW($Q$7:$Q$165))+1,""),""),ROW()-ROW(A$167)+1)))," "),"")</f>
        <v>0</v>
      </c>
      <c r="R237">
        <f t="array" ref="R237">IFERROR(CONCATENATE(TEXT(INDEX($Q$7:$Q$165,SMALL(IF($T$7:$T$165&lt;&gt;"",IF($Q$7:$Q$165&lt;&gt;"",ROW($Q$7:$Q$165)-MIN(ROW($Q$7:$Q$165))+1,""),""),ROW()-ROW(A$167)+1)),"##0")," "),"")</f>
        <v>0</v>
      </c>
      <c r="S237">
        <f t="array" ref="S237">IFERROR(CONCATENATE((INDEX($A$7:$A$165,SMALL(IF($T$7:$T$165&lt;&gt;"",IF($Q$7:$Q$165&lt;&gt;"",ROW($Q$7:$Q$165)-MIN(ROW($Q$7:$Q$165))+1,""),""),ROW()-ROW(A$167)+1))),),"")</f>
        <v>0</v>
      </c>
      <c r="W237">
        <f t="array" ref="W237">IFERROR(CONCATENATE((INDEX($Z$7:$Z$165,SMALL(IF($Z$7:$Z$165&lt;&gt;"",IF($W$7:$W$165&lt;&gt;"",ROW($W$7:$W$165)-MIN(ROW($W$7:$W$165))+1,""),""),ROW()-ROW(A$167)+1))),","),"")</f>
        <v>0</v>
      </c>
      <c r="X237">
        <f t="array" ref="X237">IFERROR(CONCATENATE(TEXT(INDEX($W$7:$W$165,SMALL(IF($Z$7:$Z$165&lt;&gt;"",IF($W$7:$W$165&lt;&gt;"",ROW($W$7:$W$165)-MIN(ROW($W$7:$W$165))+1,""),""),ROW()-ROW(A$167)+1)),"##0"),","),"")</f>
        <v>0</v>
      </c>
      <c r="Y237">
        <f t="array" ref="Y237">IFERROR(CONCATENATE((INDEX($A$7:$A$165,SMALL(IF($Z$7:$Z$165&lt;&gt;"",IF($W$7:$W$165&lt;&gt;"",ROW($W$7:$W$165)-MIN(ROW($W$7:$W$165))+1,""),""),ROW()-ROW(A$167)+1))),),"")</f>
        <v>0</v>
      </c>
    </row>
    <row r="238" spans="11:25">
      <c r="K238">
        <f t="array" ref="K238">IFERROR(CONCATENATE(TEXT(INDEX($K$7:$K$165,SMALL(IF($N$7:$N$165&lt;&gt;"",IF($K$7:$K$165&lt;&gt;"",ROW($K$7:$K$165)-MIN(ROW($K$7:$K$165))+1,""),""),ROW()-ROW(A$167)+1)),"##0"),","),"")</f>
        <v>0</v>
      </c>
      <c r="L238">
        <f t="array" ref="L238">IFERROR(CONCATENATE((INDEX($N$7:$N$165,SMALL(IF($N$7:$N$165&lt;&gt;"",IF($K$7:$K$165&lt;&gt;"",ROW($K$7:$K$165)-MIN(ROW($K$7:$K$165))+1,""),""),ROW()-ROW(A$167)+1))),","),"")</f>
        <v>0</v>
      </c>
      <c r="M238">
        <f t="array" ref="M238">IFERROR(CONCATENATE((INDEX($A$7:$A$165,SMALL(IF($N$7:$N$165&lt;&gt;"",IF($K$7:$K$165&lt;&gt;"",ROW($K$7:$K$165)-MIN(ROW($K$7:$K$165))+1,""),""),ROW()-ROW(A$167)+1))),),"")</f>
        <v>0</v>
      </c>
      <c r="Q238">
        <f t="array" ref="Q238">IFERROR(CONCATENATE((INDEX($T$7:$T$165,SMALL(IF($T$7:$T$165&lt;&gt;"",IF($Q$7:$Q$165&lt;&gt;"",ROW($Q$7:$Q$165)-MIN(ROW($Q$7:$Q$165))+1,""),""),ROW()-ROW(A$167)+1)))," "),"")</f>
        <v>0</v>
      </c>
      <c r="R238">
        <f t="array" ref="R238">IFERROR(CONCATENATE(TEXT(INDEX($Q$7:$Q$165,SMALL(IF($T$7:$T$165&lt;&gt;"",IF($Q$7:$Q$165&lt;&gt;"",ROW($Q$7:$Q$165)-MIN(ROW($Q$7:$Q$165))+1,""),""),ROW()-ROW(A$167)+1)),"##0")," "),"")</f>
        <v>0</v>
      </c>
      <c r="S238">
        <f t="array" ref="S238">IFERROR(CONCATENATE((INDEX($A$7:$A$165,SMALL(IF($T$7:$T$165&lt;&gt;"",IF($Q$7:$Q$165&lt;&gt;"",ROW($Q$7:$Q$165)-MIN(ROW($Q$7:$Q$165))+1,""),""),ROW()-ROW(A$167)+1))),),"")</f>
        <v>0</v>
      </c>
      <c r="W238">
        <f t="array" ref="W238">IFERROR(CONCATENATE((INDEX($Z$7:$Z$165,SMALL(IF($Z$7:$Z$165&lt;&gt;"",IF($W$7:$W$165&lt;&gt;"",ROW($W$7:$W$165)-MIN(ROW($W$7:$W$165))+1,""),""),ROW()-ROW(A$167)+1))),","),"")</f>
        <v>0</v>
      </c>
      <c r="X238">
        <f t="array" ref="X238">IFERROR(CONCATENATE(TEXT(INDEX($W$7:$W$165,SMALL(IF($Z$7:$Z$165&lt;&gt;"",IF($W$7:$W$165&lt;&gt;"",ROW($W$7:$W$165)-MIN(ROW($W$7:$W$165))+1,""),""),ROW()-ROW(A$167)+1)),"##0"),","),"")</f>
        <v>0</v>
      </c>
      <c r="Y238">
        <f t="array" ref="Y238">IFERROR(CONCATENATE((INDEX($A$7:$A$165,SMALL(IF($Z$7:$Z$165&lt;&gt;"",IF($W$7:$W$165&lt;&gt;"",ROW($W$7:$W$165)-MIN(ROW($W$7:$W$165))+1,""),""),ROW()-ROW(A$167)+1))),),"")</f>
        <v>0</v>
      </c>
    </row>
    <row r="239" spans="11:25">
      <c r="K239">
        <f t="array" ref="K239">IFERROR(CONCATENATE(TEXT(INDEX($K$7:$K$165,SMALL(IF($N$7:$N$165&lt;&gt;"",IF($K$7:$K$165&lt;&gt;"",ROW($K$7:$K$165)-MIN(ROW($K$7:$K$165))+1,""),""),ROW()-ROW(A$167)+1)),"##0"),","),"")</f>
        <v>0</v>
      </c>
      <c r="L239">
        <f t="array" ref="L239">IFERROR(CONCATENATE((INDEX($N$7:$N$165,SMALL(IF($N$7:$N$165&lt;&gt;"",IF($K$7:$K$165&lt;&gt;"",ROW($K$7:$K$165)-MIN(ROW($K$7:$K$165))+1,""),""),ROW()-ROW(A$167)+1))),","),"")</f>
        <v>0</v>
      </c>
      <c r="M239">
        <f t="array" ref="M239">IFERROR(CONCATENATE((INDEX($A$7:$A$165,SMALL(IF($N$7:$N$165&lt;&gt;"",IF($K$7:$K$165&lt;&gt;"",ROW($K$7:$K$165)-MIN(ROW($K$7:$K$165))+1,""),""),ROW()-ROW(A$167)+1))),),"")</f>
        <v>0</v>
      </c>
      <c r="Q239">
        <f t="array" ref="Q239">IFERROR(CONCATENATE((INDEX($T$7:$T$165,SMALL(IF($T$7:$T$165&lt;&gt;"",IF($Q$7:$Q$165&lt;&gt;"",ROW($Q$7:$Q$165)-MIN(ROW($Q$7:$Q$165))+1,""),""),ROW()-ROW(A$167)+1)))," "),"")</f>
        <v>0</v>
      </c>
      <c r="R239">
        <f t="array" ref="R239">IFERROR(CONCATENATE(TEXT(INDEX($Q$7:$Q$165,SMALL(IF($T$7:$T$165&lt;&gt;"",IF($Q$7:$Q$165&lt;&gt;"",ROW($Q$7:$Q$165)-MIN(ROW($Q$7:$Q$165))+1,""),""),ROW()-ROW(A$167)+1)),"##0")," "),"")</f>
        <v>0</v>
      </c>
      <c r="S239">
        <f t="array" ref="S239">IFERROR(CONCATENATE((INDEX($A$7:$A$165,SMALL(IF($T$7:$T$165&lt;&gt;"",IF($Q$7:$Q$165&lt;&gt;"",ROW($Q$7:$Q$165)-MIN(ROW($Q$7:$Q$165))+1,""),""),ROW()-ROW(A$167)+1))),),"")</f>
        <v>0</v>
      </c>
      <c r="W239">
        <f t="array" ref="W239">IFERROR(CONCATENATE((INDEX($Z$7:$Z$165,SMALL(IF($Z$7:$Z$165&lt;&gt;"",IF($W$7:$W$165&lt;&gt;"",ROW($W$7:$W$165)-MIN(ROW($W$7:$W$165))+1,""),""),ROW()-ROW(A$167)+1))),","),"")</f>
        <v>0</v>
      </c>
      <c r="X239">
        <f t="array" ref="X239">IFERROR(CONCATENATE(TEXT(INDEX($W$7:$W$165,SMALL(IF($Z$7:$Z$165&lt;&gt;"",IF($W$7:$W$165&lt;&gt;"",ROW($W$7:$W$165)-MIN(ROW($W$7:$W$165))+1,""),""),ROW()-ROW(A$167)+1)),"##0"),","),"")</f>
        <v>0</v>
      </c>
      <c r="Y239">
        <f t="array" ref="Y239">IFERROR(CONCATENATE((INDEX($A$7:$A$165,SMALL(IF($Z$7:$Z$165&lt;&gt;"",IF($W$7:$W$165&lt;&gt;"",ROW($W$7:$W$165)-MIN(ROW($W$7:$W$165))+1,""),""),ROW()-ROW(A$167)+1))),),"")</f>
        <v>0</v>
      </c>
    </row>
    <row r="240" spans="11:25">
      <c r="K240">
        <f t="array" ref="K240">IFERROR(CONCATENATE(TEXT(INDEX($K$7:$K$165,SMALL(IF($N$7:$N$165&lt;&gt;"",IF($K$7:$K$165&lt;&gt;"",ROW($K$7:$K$165)-MIN(ROW($K$7:$K$165))+1,""),""),ROW()-ROW(A$167)+1)),"##0"),","),"")</f>
        <v>0</v>
      </c>
      <c r="L240">
        <f t="array" ref="L240">IFERROR(CONCATENATE((INDEX($N$7:$N$165,SMALL(IF($N$7:$N$165&lt;&gt;"",IF($K$7:$K$165&lt;&gt;"",ROW($K$7:$K$165)-MIN(ROW($K$7:$K$165))+1,""),""),ROW()-ROW(A$167)+1))),","),"")</f>
        <v>0</v>
      </c>
      <c r="M240">
        <f t="array" ref="M240">IFERROR(CONCATENATE((INDEX($A$7:$A$165,SMALL(IF($N$7:$N$165&lt;&gt;"",IF($K$7:$K$165&lt;&gt;"",ROW($K$7:$K$165)-MIN(ROW($K$7:$K$165))+1,""),""),ROW()-ROW(A$167)+1))),),"")</f>
        <v>0</v>
      </c>
      <c r="Q240">
        <f t="array" ref="Q240">IFERROR(CONCATENATE((INDEX($T$7:$T$165,SMALL(IF($T$7:$T$165&lt;&gt;"",IF($Q$7:$Q$165&lt;&gt;"",ROW($Q$7:$Q$165)-MIN(ROW($Q$7:$Q$165))+1,""),""),ROW()-ROW(A$167)+1)))," "),"")</f>
        <v>0</v>
      </c>
      <c r="R240">
        <f t="array" ref="R240">IFERROR(CONCATENATE(TEXT(INDEX($Q$7:$Q$165,SMALL(IF($T$7:$T$165&lt;&gt;"",IF($Q$7:$Q$165&lt;&gt;"",ROW($Q$7:$Q$165)-MIN(ROW($Q$7:$Q$165))+1,""),""),ROW()-ROW(A$167)+1)),"##0")," "),"")</f>
        <v>0</v>
      </c>
      <c r="S240">
        <f t="array" ref="S240">IFERROR(CONCATENATE((INDEX($A$7:$A$165,SMALL(IF($T$7:$T$165&lt;&gt;"",IF($Q$7:$Q$165&lt;&gt;"",ROW($Q$7:$Q$165)-MIN(ROW($Q$7:$Q$165))+1,""),""),ROW()-ROW(A$167)+1))),),"")</f>
        <v>0</v>
      </c>
      <c r="W240">
        <f t="array" ref="W240">IFERROR(CONCATENATE((INDEX($Z$7:$Z$165,SMALL(IF($Z$7:$Z$165&lt;&gt;"",IF($W$7:$W$165&lt;&gt;"",ROW($W$7:$W$165)-MIN(ROW($W$7:$W$165))+1,""),""),ROW()-ROW(A$167)+1))),","),"")</f>
        <v>0</v>
      </c>
      <c r="X240">
        <f t="array" ref="X240">IFERROR(CONCATENATE(TEXT(INDEX($W$7:$W$165,SMALL(IF($Z$7:$Z$165&lt;&gt;"",IF($W$7:$W$165&lt;&gt;"",ROW($W$7:$W$165)-MIN(ROW($W$7:$W$165))+1,""),""),ROW()-ROW(A$167)+1)),"##0"),","),"")</f>
        <v>0</v>
      </c>
      <c r="Y240">
        <f t="array" ref="Y240">IFERROR(CONCATENATE((INDEX($A$7:$A$165,SMALL(IF($Z$7:$Z$165&lt;&gt;"",IF($W$7:$W$165&lt;&gt;"",ROW($W$7:$W$165)-MIN(ROW($W$7:$W$165))+1,""),""),ROW()-ROW(A$167)+1))),),"")</f>
        <v>0</v>
      </c>
    </row>
    <row r="241" spans="11:25">
      <c r="K241">
        <f t="array" ref="K241">IFERROR(CONCATENATE(TEXT(INDEX($K$7:$K$165,SMALL(IF($N$7:$N$165&lt;&gt;"",IF($K$7:$K$165&lt;&gt;"",ROW($K$7:$K$165)-MIN(ROW($K$7:$K$165))+1,""),""),ROW()-ROW(A$167)+1)),"##0"),","),"")</f>
        <v>0</v>
      </c>
      <c r="L241">
        <f t="array" ref="L241">IFERROR(CONCATENATE((INDEX($N$7:$N$165,SMALL(IF($N$7:$N$165&lt;&gt;"",IF($K$7:$K$165&lt;&gt;"",ROW($K$7:$K$165)-MIN(ROW($K$7:$K$165))+1,""),""),ROW()-ROW(A$167)+1))),","),"")</f>
        <v>0</v>
      </c>
      <c r="M241">
        <f t="array" ref="M241">IFERROR(CONCATENATE((INDEX($A$7:$A$165,SMALL(IF($N$7:$N$165&lt;&gt;"",IF($K$7:$K$165&lt;&gt;"",ROW($K$7:$K$165)-MIN(ROW($K$7:$K$165))+1,""),""),ROW()-ROW(A$167)+1))),),"")</f>
        <v>0</v>
      </c>
      <c r="Q241">
        <f t="array" ref="Q241">IFERROR(CONCATENATE((INDEX($T$7:$T$165,SMALL(IF($T$7:$T$165&lt;&gt;"",IF($Q$7:$Q$165&lt;&gt;"",ROW($Q$7:$Q$165)-MIN(ROW($Q$7:$Q$165))+1,""),""),ROW()-ROW(A$167)+1)))," "),"")</f>
        <v>0</v>
      </c>
      <c r="R241">
        <f t="array" ref="R241">IFERROR(CONCATENATE(TEXT(INDEX($Q$7:$Q$165,SMALL(IF($T$7:$T$165&lt;&gt;"",IF($Q$7:$Q$165&lt;&gt;"",ROW($Q$7:$Q$165)-MIN(ROW($Q$7:$Q$165))+1,""),""),ROW()-ROW(A$167)+1)),"##0")," "),"")</f>
        <v>0</v>
      </c>
      <c r="S241">
        <f t="array" ref="S241">IFERROR(CONCATENATE((INDEX($A$7:$A$165,SMALL(IF($T$7:$T$165&lt;&gt;"",IF($Q$7:$Q$165&lt;&gt;"",ROW($Q$7:$Q$165)-MIN(ROW($Q$7:$Q$165))+1,""),""),ROW()-ROW(A$167)+1))),),"")</f>
        <v>0</v>
      </c>
      <c r="W241">
        <f t="array" ref="W241">IFERROR(CONCATENATE((INDEX($Z$7:$Z$165,SMALL(IF($Z$7:$Z$165&lt;&gt;"",IF($W$7:$W$165&lt;&gt;"",ROW($W$7:$W$165)-MIN(ROW($W$7:$W$165))+1,""),""),ROW()-ROW(A$167)+1))),","),"")</f>
        <v>0</v>
      </c>
      <c r="X241">
        <f t="array" ref="X241">IFERROR(CONCATENATE(TEXT(INDEX($W$7:$W$165,SMALL(IF($Z$7:$Z$165&lt;&gt;"",IF($W$7:$W$165&lt;&gt;"",ROW($W$7:$W$165)-MIN(ROW($W$7:$W$165))+1,""),""),ROW()-ROW(A$167)+1)),"##0"),","),"")</f>
        <v>0</v>
      </c>
      <c r="Y241">
        <f t="array" ref="Y241">IFERROR(CONCATENATE((INDEX($A$7:$A$165,SMALL(IF($Z$7:$Z$165&lt;&gt;"",IF($W$7:$W$165&lt;&gt;"",ROW($W$7:$W$165)-MIN(ROW($W$7:$W$165))+1,""),""),ROW()-ROW(A$167)+1))),),"")</f>
        <v>0</v>
      </c>
    </row>
    <row r="242" spans="11:25">
      <c r="K242">
        <f t="array" ref="K242">IFERROR(CONCATENATE(TEXT(INDEX($K$7:$K$165,SMALL(IF($N$7:$N$165&lt;&gt;"",IF($K$7:$K$165&lt;&gt;"",ROW($K$7:$K$165)-MIN(ROW($K$7:$K$165))+1,""),""),ROW()-ROW(A$167)+1)),"##0"),","),"")</f>
        <v>0</v>
      </c>
      <c r="L242">
        <f t="array" ref="L242">IFERROR(CONCATENATE((INDEX($N$7:$N$165,SMALL(IF($N$7:$N$165&lt;&gt;"",IF($K$7:$K$165&lt;&gt;"",ROW($K$7:$K$165)-MIN(ROW($K$7:$K$165))+1,""),""),ROW()-ROW(A$167)+1))),","),"")</f>
        <v>0</v>
      </c>
      <c r="M242">
        <f t="array" ref="M242">IFERROR(CONCATENATE((INDEX($A$7:$A$165,SMALL(IF($N$7:$N$165&lt;&gt;"",IF($K$7:$K$165&lt;&gt;"",ROW($K$7:$K$165)-MIN(ROW($K$7:$K$165))+1,""),""),ROW()-ROW(A$167)+1))),),"")</f>
        <v>0</v>
      </c>
      <c r="Q242">
        <f t="array" ref="Q242">IFERROR(CONCATENATE((INDEX($T$7:$T$165,SMALL(IF($T$7:$T$165&lt;&gt;"",IF($Q$7:$Q$165&lt;&gt;"",ROW($Q$7:$Q$165)-MIN(ROW($Q$7:$Q$165))+1,""),""),ROW()-ROW(A$167)+1)))," "),"")</f>
        <v>0</v>
      </c>
      <c r="R242">
        <f t="array" ref="R242">IFERROR(CONCATENATE(TEXT(INDEX($Q$7:$Q$165,SMALL(IF($T$7:$T$165&lt;&gt;"",IF($Q$7:$Q$165&lt;&gt;"",ROW($Q$7:$Q$165)-MIN(ROW($Q$7:$Q$165))+1,""),""),ROW()-ROW(A$167)+1)),"##0")," "),"")</f>
        <v>0</v>
      </c>
      <c r="S242">
        <f t="array" ref="S242">IFERROR(CONCATENATE((INDEX($A$7:$A$165,SMALL(IF($T$7:$T$165&lt;&gt;"",IF($Q$7:$Q$165&lt;&gt;"",ROW($Q$7:$Q$165)-MIN(ROW($Q$7:$Q$165))+1,""),""),ROW()-ROW(A$167)+1))),),"")</f>
        <v>0</v>
      </c>
      <c r="W242">
        <f t="array" ref="W242">IFERROR(CONCATENATE((INDEX($Z$7:$Z$165,SMALL(IF($Z$7:$Z$165&lt;&gt;"",IF($W$7:$W$165&lt;&gt;"",ROW($W$7:$W$165)-MIN(ROW($W$7:$W$165))+1,""),""),ROW()-ROW(A$167)+1))),","),"")</f>
        <v>0</v>
      </c>
      <c r="X242">
        <f t="array" ref="X242">IFERROR(CONCATENATE(TEXT(INDEX($W$7:$W$165,SMALL(IF($Z$7:$Z$165&lt;&gt;"",IF($W$7:$W$165&lt;&gt;"",ROW($W$7:$W$165)-MIN(ROW($W$7:$W$165))+1,""),""),ROW()-ROW(A$167)+1)),"##0"),","),"")</f>
        <v>0</v>
      </c>
      <c r="Y242">
        <f t="array" ref="Y242">IFERROR(CONCATENATE((INDEX($A$7:$A$165,SMALL(IF($Z$7:$Z$165&lt;&gt;"",IF($W$7:$W$165&lt;&gt;"",ROW($W$7:$W$165)-MIN(ROW($W$7:$W$165))+1,""),""),ROW()-ROW(A$167)+1))),),"")</f>
        <v>0</v>
      </c>
    </row>
    <row r="243" spans="11:25">
      <c r="K243">
        <f t="array" ref="K243">IFERROR(CONCATENATE(TEXT(INDEX($K$7:$K$165,SMALL(IF($N$7:$N$165&lt;&gt;"",IF($K$7:$K$165&lt;&gt;"",ROW($K$7:$K$165)-MIN(ROW($K$7:$K$165))+1,""),""),ROW()-ROW(A$167)+1)),"##0"),","),"")</f>
        <v>0</v>
      </c>
      <c r="L243">
        <f t="array" ref="L243">IFERROR(CONCATENATE((INDEX($N$7:$N$165,SMALL(IF($N$7:$N$165&lt;&gt;"",IF($K$7:$K$165&lt;&gt;"",ROW($K$7:$K$165)-MIN(ROW($K$7:$K$165))+1,""),""),ROW()-ROW(A$167)+1))),","),"")</f>
        <v>0</v>
      </c>
      <c r="M243">
        <f t="array" ref="M243">IFERROR(CONCATENATE((INDEX($A$7:$A$165,SMALL(IF($N$7:$N$165&lt;&gt;"",IF($K$7:$K$165&lt;&gt;"",ROW($K$7:$K$165)-MIN(ROW($K$7:$K$165))+1,""),""),ROW()-ROW(A$167)+1))),),"")</f>
        <v>0</v>
      </c>
      <c r="Q243">
        <f t="array" ref="Q243">IFERROR(CONCATENATE((INDEX($T$7:$T$165,SMALL(IF($T$7:$T$165&lt;&gt;"",IF($Q$7:$Q$165&lt;&gt;"",ROW($Q$7:$Q$165)-MIN(ROW($Q$7:$Q$165))+1,""),""),ROW()-ROW(A$167)+1)))," "),"")</f>
        <v>0</v>
      </c>
      <c r="R243">
        <f t="array" ref="R243">IFERROR(CONCATENATE(TEXT(INDEX($Q$7:$Q$165,SMALL(IF($T$7:$T$165&lt;&gt;"",IF($Q$7:$Q$165&lt;&gt;"",ROW($Q$7:$Q$165)-MIN(ROW($Q$7:$Q$165))+1,""),""),ROW()-ROW(A$167)+1)),"##0")," "),"")</f>
        <v>0</v>
      </c>
      <c r="S243">
        <f t="array" ref="S243">IFERROR(CONCATENATE((INDEX($A$7:$A$165,SMALL(IF($T$7:$T$165&lt;&gt;"",IF($Q$7:$Q$165&lt;&gt;"",ROW($Q$7:$Q$165)-MIN(ROW($Q$7:$Q$165))+1,""),""),ROW()-ROW(A$167)+1))),),"")</f>
        <v>0</v>
      </c>
      <c r="W243">
        <f t="array" ref="W243">IFERROR(CONCATENATE((INDEX($Z$7:$Z$165,SMALL(IF($Z$7:$Z$165&lt;&gt;"",IF($W$7:$W$165&lt;&gt;"",ROW($W$7:$W$165)-MIN(ROW($W$7:$W$165))+1,""),""),ROW()-ROW(A$167)+1))),","),"")</f>
        <v>0</v>
      </c>
      <c r="X243">
        <f t="array" ref="X243">IFERROR(CONCATENATE(TEXT(INDEX($W$7:$W$165,SMALL(IF($Z$7:$Z$165&lt;&gt;"",IF($W$7:$W$165&lt;&gt;"",ROW($W$7:$W$165)-MIN(ROW($W$7:$W$165))+1,""),""),ROW()-ROW(A$167)+1)),"##0"),","),"")</f>
        <v>0</v>
      </c>
      <c r="Y243">
        <f t="array" ref="Y243">IFERROR(CONCATENATE((INDEX($A$7:$A$165,SMALL(IF($Z$7:$Z$165&lt;&gt;"",IF($W$7:$W$165&lt;&gt;"",ROW($W$7:$W$165)-MIN(ROW($W$7:$W$165))+1,""),""),ROW()-ROW(A$167)+1))),),"")</f>
        <v>0</v>
      </c>
    </row>
    <row r="244" spans="11:25">
      <c r="K244">
        <f t="array" ref="K244">IFERROR(CONCATENATE(TEXT(INDEX($K$7:$K$165,SMALL(IF($N$7:$N$165&lt;&gt;"",IF($K$7:$K$165&lt;&gt;"",ROW($K$7:$K$165)-MIN(ROW($K$7:$K$165))+1,""),""),ROW()-ROW(A$167)+1)),"##0"),","),"")</f>
        <v>0</v>
      </c>
      <c r="L244">
        <f t="array" ref="L244">IFERROR(CONCATENATE((INDEX($N$7:$N$165,SMALL(IF($N$7:$N$165&lt;&gt;"",IF($K$7:$K$165&lt;&gt;"",ROW($K$7:$K$165)-MIN(ROW($K$7:$K$165))+1,""),""),ROW()-ROW(A$167)+1))),","),"")</f>
        <v>0</v>
      </c>
      <c r="M244">
        <f t="array" ref="M244">IFERROR(CONCATENATE((INDEX($A$7:$A$165,SMALL(IF($N$7:$N$165&lt;&gt;"",IF($K$7:$K$165&lt;&gt;"",ROW($K$7:$K$165)-MIN(ROW($K$7:$K$165))+1,""),""),ROW()-ROW(A$167)+1))),),"")</f>
        <v>0</v>
      </c>
      <c r="Q244">
        <f t="array" ref="Q244">IFERROR(CONCATENATE((INDEX($T$7:$T$165,SMALL(IF($T$7:$T$165&lt;&gt;"",IF($Q$7:$Q$165&lt;&gt;"",ROW($Q$7:$Q$165)-MIN(ROW($Q$7:$Q$165))+1,""),""),ROW()-ROW(A$167)+1)))," "),"")</f>
        <v>0</v>
      </c>
      <c r="R244">
        <f t="array" ref="R244">IFERROR(CONCATENATE(TEXT(INDEX($Q$7:$Q$165,SMALL(IF($T$7:$T$165&lt;&gt;"",IF($Q$7:$Q$165&lt;&gt;"",ROW($Q$7:$Q$165)-MIN(ROW($Q$7:$Q$165))+1,""),""),ROW()-ROW(A$167)+1)),"##0")," "),"")</f>
        <v>0</v>
      </c>
      <c r="S244">
        <f t="array" ref="S244">IFERROR(CONCATENATE((INDEX($A$7:$A$165,SMALL(IF($T$7:$T$165&lt;&gt;"",IF($Q$7:$Q$165&lt;&gt;"",ROW($Q$7:$Q$165)-MIN(ROW($Q$7:$Q$165))+1,""),""),ROW()-ROW(A$167)+1))),),"")</f>
        <v>0</v>
      </c>
      <c r="W244">
        <f t="array" ref="W244">IFERROR(CONCATENATE((INDEX($Z$7:$Z$165,SMALL(IF($Z$7:$Z$165&lt;&gt;"",IF($W$7:$W$165&lt;&gt;"",ROW($W$7:$W$165)-MIN(ROW($W$7:$W$165))+1,""),""),ROW()-ROW(A$167)+1))),","),"")</f>
        <v>0</v>
      </c>
      <c r="X244">
        <f t="array" ref="X244">IFERROR(CONCATENATE(TEXT(INDEX($W$7:$W$165,SMALL(IF($Z$7:$Z$165&lt;&gt;"",IF($W$7:$W$165&lt;&gt;"",ROW($W$7:$W$165)-MIN(ROW($W$7:$W$165))+1,""),""),ROW()-ROW(A$167)+1)),"##0"),","),"")</f>
        <v>0</v>
      </c>
      <c r="Y244">
        <f t="array" ref="Y244">IFERROR(CONCATENATE((INDEX($A$7:$A$165,SMALL(IF($Z$7:$Z$165&lt;&gt;"",IF($W$7:$W$165&lt;&gt;"",ROW($W$7:$W$165)-MIN(ROW($W$7:$W$165))+1,""),""),ROW()-ROW(A$167)+1))),),"")</f>
        <v>0</v>
      </c>
    </row>
    <row r="245" spans="11:25">
      <c r="K245">
        <f t="array" ref="K245">IFERROR(CONCATENATE(TEXT(INDEX($K$7:$K$165,SMALL(IF($N$7:$N$165&lt;&gt;"",IF($K$7:$K$165&lt;&gt;"",ROW($K$7:$K$165)-MIN(ROW($K$7:$K$165))+1,""),""),ROW()-ROW(A$167)+1)),"##0"),","),"")</f>
        <v>0</v>
      </c>
      <c r="L245">
        <f t="array" ref="L245">IFERROR(CONCATENATE((INDEX($N$7:$N$165,SMALL(IF($N$7:$N$165&lt;&gt;"",IF($K$7:$K$165&lt;&gt;"",ROW($K$7:$K$165)-MIN(ROW($K$7:$K$165))+1,""),""),ROW()-ROW(A$167)+1))),","),"")</f>
        <v>0</v>
      </c>
      <c r="M245">
        <f t="array" ref="M245">IFERROR(CONCATENATE((INDEX($A$7:$A$165,SMALL(IF($N$7:$N$165&lt;&gt;"",IF($K$7:$K$165&lt;&gt;"",ROW($K$7:$K$165)-MIN(ROW($K$7:$K$165))+1,""),""),ROW()-ROW(A$167)+1))),),"")</f>
        <v>0</v>
      </c>
      <c r="Q245">
        <f t="array" ref="Q245">IFERROR(CONCATENATE((INDEX($T$7:$T$165,SMALL(IF($T$7:$T$165&lt;&gt;"",IF($Q$7:$Q$165&lt;&gt;"",ROW($Q$7:$Q$165)-MIN(ROW($Q$7:$Q$165))+1,""),""),ROW()-ROW(A$167)+1)))," "),"")</f>
        <v>0</v>
      </c>
      <c r="R245">
        <f t="array" ref="R245">IFERROR(CONCATENATE(TEXT(INDEX($Q$7:$Q$165,SMALL(IF($T$7:$T$165&lt;&gt;"",IF($Q$7:$Q$165&lt;&gt;"",ROW($Q$7:$Q$165)-MIN(ROW($Q$7:$Q$165))+1,""),""),ROW()-ROW(A$167)+1)),"##0")," "),"")</f>
        <v>0</v>
      </c>
      <c r="S245">
        <f t="array" ref="S245">IFERROR(CONCATENATE((INDEX($A$7:$A$165,SMALL(IF($T$7:$T$165&lt;&gt;"",IF($Q$7:$Q$165&lt;&gt;"",ROW($Q$7:$Q$165)-MIN(ROW($Q$7:$Q$165))+1,""),""),ROW()-ROW(A$167)+1))),),"")</f>
        <v>0</v>
      </c>
      <c r="W245">
        <f t="array" ref="W245">IFERROR(CONCATENATE((INDEX($Z$7:$Z$165,SMALL(IF($Z$7:$Z$165&lt;&gt;"",IF($W$7:$W$165&lt;&gt;"",ROW($W$7:$W$165)-MIN(ROW($W$7:$W$165))+1,""),""),ROW()-ROW(A$167)+1))),","),"")</f>
        <v>0</v>
      </c>
      <c r="X245">
        <f t="array" ref="X245">IFERROR(CONCATENATE(TEXT(INDEX($W$7:$W$165,SMALL(IF($Z$7:$Z$165&lt;&gt;"",IF($W$7:$W$165&lt;&gt;"",ROW($W$7:$W$165)-MIN(ROW($W$7:$W$165))+1,""),""),ROW()-ROW(A$167)+1)),"##0"),","),"")</f>
        <v>0</v>
      </c>
      <c r="Y245">
        <f t="array" ref="Y245">IFERROR(CONCATENATE((INDEX($A$7:$A$165,SMALL(IF($Z$7:$Z$165&lt;&gt;"",IF($W$7:$W$165&lt;&gt;"",ROW($W$7:$W$165)-MIN(ROW($W$7:$W$165))+1,""),""),ROW()-ROW(A$167)+1))),),"")</f>
        <v>0</v>
      </c>
    </row>
    <row r="246" spans="11:25">
      <c r="K246">
        <f t="array" ref="K246">IFERROR(CONCATENATE(TEXT(INDEX($K$7:$K$165,SMALL(IF($N$7:$N$165&lt;&gt;"",IF($K$7:$K$165&lt;&gt;"",ROW($K$7:$K$165)-MIN(ROW($K$7:$K$165))+1,""),""),ROW()-ROW(A$167)+1)),"##0"),","),"")</f>
        <v>0</v>
      </c>
      <c r="L246">
        <f t="array" ref="L246">IFERROR(CONCATENATE((INDEX($N$7:$N$165,SMALL(IF($N$7:$N$165&lt;&gt;"",IF($K$7:$K$165&lt;&gt;"",ROW($K$7:$K$165)-MIN(ROW($K$7:$K$165))+1,""),""),ROW()-ROW(A$167)+1))),","),"")</f>
        <v>0</v>
      </c>
      <c r="M246">
        <f t="array" ref="M246">IFERROR(CONCATENATE((INDEX($A$7:$A$165,SMALL(IF($N$7:$N$165&lt;&gt;"",IF($K$7:$K$165&lt;&gt;"",ROW($K$7:$K$165)-MIN(ROW($K$7:$K$165))+1,""),""),ROW()-ROW(A$167)+1))),),"")</f>
        <v>0</v>
      </c>
      <c r="Q246">
        <f t="array" ref="Q246">IFERROR(CONCATENATE((INDEX($T$7:$T$165,SMALL(IF($T$7:$T$165&lt;&gt;"",IF($Q$7:$Q$165&lt;&gt;"",ROW($Q$7:$Q$165)-MIN(ROW($Q$7:$Q$165))+1,""),""),ROW()-ROW(A$167)+1)))," "),"")</f>
        <v>0</v>
      </c>
      <c r="R246">
        <f t="array" ref="R246">IFERROR(CONCATENATE(TEXT(INDEX($Q$7:$Q$165,SMALL(IF($T$7:$T$165&lt;&gt;"",IF($Q$7:$Q$165&lt;&gt;"",ROW($Q$7:$Q$165)-MIN(ROW($Q$7:$Q$165))+1,""),""),ROW()-ROW(A$167)+1)),"##0")," "),"")</f>
        <v>0</v>
      </c>
      <c r="S246">
        <f t="array" ref="S246">IFERROR(CONCATENATE((INDEX($A$7:$A$165,SMALL(IF($T$7:$T$165&lt;&gt;"",IF($Q$7:$Q$165&lt;&gt;"",ROW($Q$7:$Q$165)-MIN(ROW($Q$7:$Q$165))+1,""),""),ROW()-ROW(A$167)+1))),),"")</f>
        <v>0</v>
      </c>
      <c r="W246">
        <f t="array" ref="W246">IFERROR(CONCATENATE((INDEX($Z$7:$Z$165,SMALL(IF($Z$7:$Z$165&lt;&gt;"",IF($W$7:$W$165&lt;&gt;"",ROW($W$7:$W$165)-MIN(ROW($W$7:$W$165))+1,""),""),ROW()-ROW(A$167)+1))),","),"")</f>
        <v>0</v>
      </c>
      <c r="X246">
        <f t="array" ref="X246">IFERROR(CONCATENATE(TEXT(INDEX($W$7:$W$165,SMALL(IF($Z$7:$Z$165&lt;&gt;"",IF($W$7:$W$165&lt;&gt;"",ROW($W$7:$W$165)-MIN(ROW($W$7:$W$165))+1,""),""),ROW()-ROW(A$167)+1)),"##0"),","),"")</f>
        <v>0</v>
      </c>
      <c r="Y246">
        <f t="array" ref="Y246">IFERROR(CONCATENATE((INDEX($A$7:$A$165,SMALL(IF($Z$7:$Z$165&lt;&gt;"",IF($W$7:$W$165&lt;&gt;"",ROW($W$7:$W$165)-MIN(ROW($W$7:$W$165))+1,""),""),ROW()-ROW(A$167)+1))),),"")</f>
        <v>0</v>
      </c>
    </row>
    <row r="247" spans="11:25">
      <c r="K247">
        <f t="array" ref="K247">IFERROR(CONCATENATE(TEXT(INDEX($K$7:$K$165,SMALL(IF($N$7:$N$165&lt;&gt;"",IF($K$7:$K$165&lt;&gt;"",ROW($K$7:$K$165)-MIN(ROW($K$7:$K$165))+1,""),""),ROW()-ROW(A$167)+1)),"##0"),","),"")</f>
        <v>0</v>
      </c>
      <c r="L247">
        <f t="array" ref="L247">IFERROR(CONCATENATE((INDEX($N$7:$N$165,SMALL(IF($N$7:$N$165&lt;&gt;"",IF($K$7:$K$165&lt;&gt;"",ROW($K$7:$K$165)-MIN(ROW($K$7:$K$165))+1,""),""),ROW()-ROW(A$167)+1))),","),"")</f>
        <v>0</v>
      </c>
      <c r="M247">
        <f t="array" ref="M247">IFERROR(CONCATENATE((INDEX($A$7:$A$165,SMALL(IF($N$7:$N$165&lt;&gt;"",IF($K$7:$K$165&lt;&gt;"",ROW($K$7:$K$165)-MIN(ROW($K$7:$K$165))+1,""),""),ROW()-ROW(A$167)+1))),),"")</f>
        <v>0</v>
      </c>
      <c r="Q247">
        <f t="array" ref="Q247">IFERROR(CONCATENATE((INDEX($T$7:$T$165,SMALL(IF($T$7:$T$165&lt;&gt;"",IF($Q$7:$Q$165&lt;&gt;"",ROW($Q$7:$Q$165)-MIN(ROW($Q$7:$Q$165))+1,""),""),ROW()-ROW(A$167)+1)))," "),"")</f>
        <v>0</v>
      </c>
      <c r="R247">
        <f t="array" ref="R247">IFERROR(CONCATENATE(TEXT(INDEX($Q$7:$Q$165,SMALL(IF($T$7:$T$165&lt;&gt;"",IF($Q$7:$Q$165&lt;&gt;"",ROW($Q$7:$Q$165)-MIN(ROW($Q$7:$Q$165))+1,""),""),ROW()-ROW(A$167)+1)),"##0")," "),"")</f>
        <v>0</v>
      </c>
      <c r="S247">
        <f t="array" ref="S247">IFERROR(CONCATENATE((INDEX($A$7:$A$165,SMALL(IF($T$7:$T$165&lt;&gt;"",IF($Q$7:$Q$165&lt;&gt;"",ROW($Q$7:$Q$165)-MIN(ROW($Q$7:$Q$165))+1,""),""),ROW()-ROW(A$167)+1))),),"")</f>
        <v>0</v>
      </c>
      <c r="W247">
        <f t="array" ref="W247">IFERROR(CONCATENATE((INDEX($Z$7:$Z$165,SMALL(IF($Z$7:$Z$165&lt;&gt;"",IF($W$7:$W$165&lt;&gt;"",ROW($W$7:$W$165)-MIN(ROW($W$7:$W$165))+1,""),""),ROW()-ROW(A$167)+1))),","),"")</f>
        <v>0</v>
      </c>
      <c r="X247">
        <f t="array" ref="X247">IFERROR(CONCATENATE(TEXT(INDEX($W$7:$W$165,SMALL(IF($Z$7:$Z$165&lt;&gt;"",IF($W$7:$W$165&lt;&gt;"",ROW($W$7:$W$165)-MIN(ROW($W$7:$W$165))+1,""),""),ROW()-ROW(A$167)+1)),"##0"),","),"")</f>
        <v>0</v>
      </c>
      <c r="Y247">
        <f t="array" ref="Y247">IFERROR(CONCATENATE((INDEX($A$7:$A$165,SMALL(IF($Z$7:$Z$165&lt;&gt;"",IF($W$7:$W$165&lt;&gt;"",ROW($W$7:$W$165)-MIN(ROW($W$7:$W$165))+1,""),""),ROW()-ROW(A$167)+1))),),"")</f>
        <v>0</v>
      </c>
    </row>
    <row r="248" spans="11:25">
      <c r="K248">
        <f t="array" ref="K248">IFERROR(CONCATENATE(TEXT(INDEX($K$7:$K$165,SMALL(IF($N$7:$N$165&lt;&gt;"",IF($K$7:$K$165&lt;&gt;"",ROW($K$7:$K$165)-MIN(ROW($K$7:$K$165))+1,""),""),ROW()-ROW(A$167)+1)),"##0"),","),"")</f>
        <v>0</v>
      </c>
      <c r="L248">
        <f t="array" ref="L248">IFERROR(CONCATENATE((INDEX($N$7:$N$165,SMALL(IF($N$7:$N$165&lt;&gt;"",IF($K$7:$K$165&lt;&gt;"",ROW($K$7:$K$165)-MIN(ROW($K$7:$K$165))+1,""),""),ROW()-ROW(A$167)+1))),","),"")</f>
        <v>0</v>
      </c>
      <c r="M248">
        <f t="array" ref="M248">IFERROR(CONCATENATE((INDEX($A$7:$A$165,SMALL(IF($N$7:$N$165&lt;&gt;"",IF($K$7:$K$165&lt;&gt;"",ROW($K$7:$K$165)-MIN(ROW($K$7:$K$165))+1,""),""),ROW()-ROW(A$167)+1))),),"")</f>
        <v>0</v>
      </c>
      <c r="Q248">
        <f t="array" ref="Q248">IFERROR(CONCATENATE((INDEX($T$7:$T$165,SMALL(IF($T$7:$T$165&lt;&gt;"",IF($Q$7:$Q$165&lt;&gt;"",ROW($Q$7:$Q$165)-MIN(ROW($Q$7:$Q$165))+1,""),""),ROW()-ROW(A$167)+1)))," "),"")</f>
        <v>0</v>
      </c>
      <c r="R248">
        <f t="array" ref="R248">IFERROR(CONCATENATE(TEXT(INDEX($Q$7:$Q$165,SMALL(IF($T$7:$T$165&lt;&gt;"",IF($Q$7:$Q$165&lt;&gt;"",ROW($Q$7:$Q$165)-MIN(ROW($Q$7:$Q$165))+1,""),""),ROW()-ROW(A$167)+1)),"##0")," "),"")</f>
        <v>0</v>
      </c>
      <c r="S248">
        <f t="array" ref="S248">IFERROR(CONCATENATE((INDEX($A$7:$A$165,SMALL(IF($T$7:$T$165&lt;&gt;"",IF($Q$7:$Q$165&lt;&gt;"",ROW($Q$7:$Q$165)-MIN(ROW($Q$7:$Q$165))+1,""),""),ROW()-ROW(A$167)+1))),),"")</f>
        <v>0</v>
      </c>
      <c r="W248">
        <f t="array" ref="W248">IFERROR(CONCATENATE((INDEX($Z$7:$Z$165,SMALL(IF($Z$7:$Z$165&lt;&gt;"",IF($W$7:$W$165&lt;&gt;"",ROW($W$7:$W$165)-MIN(ROW($W$7:$W$165))+1,""),""),ROW()-ROW(A$167)+1))),","),"")</f>
        <v>0</v>
      </c>
      <c r="X248">
        <f t="array" ref="X248">IFERROR(CONCATENATE(TEXT(INDEX($W$7:$W$165,SMALL(IF($Z$7:$Z$165&lt;&gt;"",IF($W$7:$W$165&lt;&gt;"",ROW($W$7:$W$165)-MIN(ROW($W$7:$W$165))+1,""),""),ROW()-ROW(A$167)+1)),"##0"),","),"")</f>
        <v>0</v>
      </c>
      <c r="Y248">
        <f t="array" ref="Y248">IFERROR(CONCATENATE((INDEX($A$7:$A$165,SMALL(IF($Z$7:$Z$165&lt;&gt;"",IF($W$7:$W$165&lt;&gt;"",ROW($W$7:$W$165)-MIN(ROW($W$7:$W$165))+1,""),""),ROW()-ROW(A$167)+1))),),"")</f>
        <v>0</v>
      </c>
    </row>
    <row r="249" spans="11:25">
      <c r="K249">
        <f t="array" ref="K249">IFERROR(CONCATENATE(TEXT(INDEX($K$7:$K$165,SMALL(IF($N$7:$N$165&lt;&gt;"",IF($K$7:$K$165&lt;&gt;"",ROW($K$7:$K$165)-MIN(ROW($K$7:$K$165))+1,""),""),ROW()-ROW(A$167)+1)),"##0"),","),"")</f>
        <v>0</v>
      </c>
      <c r="L249">
        <f t="array" ref="L249">IFERROR(CONCATENATE((INDEX($N$7:$N$165,SMALL(IF($N$7:$N$165&lt;&gt;"",IF($K$7:$K$165&lt;&gt;"",ROW($K$7:$K$165)-MIN(ROW($K$7:$K$165))+1,""),""),ROW()-ROW(A$167)+1))),","),"")</f>
        <v>0</v>
      </c>
      <c r="M249">
        <f t="array" ref="M249">IFERROR(CONCATENATE((INDEX($A$7:$A$165,SMALL(IF($N$7:$N$165&lt;&gt;"",IF($K$7:$K$165&lt;&gt;"",ROW($K$7:$K$165)-MIN(ROW($K$7:$K$165))+1,""),""),ROW()-ROW(A$167)+1))),),"")</f>
        <v>0</v>
      </c>
      <c r="Q249">
        <f t="array" ref="Q249">IFERROR(CONCATENATE((INDEX($T$7:$T$165,SMALL(IF($T$7:$T$165&lt;&gt;"",IF($Q$7:$Q$165&lt;&gt;"",ROW($Q$7:$Q$165)-MIN(ROW($Q$7:$Q$165))+1,""),""),ROW()-ROW(A$167)+1)))," "),"")</f>
        <v>0</v>
      </c>
      <c r="R249">
        <f t="array" ref="R249">IFERROR(CONCATENATE(TEXT(INDEX($Q$7:$Q$165,SMALL(IF($T$7:$T$165&lt;&gt;"",IF($Q$7:$Q$165&lt;&gt;"",ROW($Q$7:$Q$165)-MIN(ROW($Q$7:$Q$165))+1,""),""),ROW()-ROW(A$167)+1)),"##0")," "),"")</f>
        <v>0</v>
      </c>
      <c r="S249">
        <f t="array" ref="S249">IFERROR(CONCATENATE((INDEX($A$7:$A$165,SMALL(IF($T$7:$T$165&lt;&gt;"",IF($Q$7:$Q$165&lt;&gt;"",ROW($Q$7:$Q$165)-MIN(ROW($Q$7:$Q$165))+1,""),""),ROW()-ROW(A$167)+1))),),"")</f>
        <v>0</v>
      </c>
      <c r="W249">
        <f t="array" ref="W249">IFERROR(CONCATENATE((INDEX($Z$7:$Z$165,SMALL(IF($Z$7:$Z$165&lt;&gt;"",IF($W$7:$W$165&lt;&gt;"",ROW($W$7:$W$165)-MIN(ROW($W$7:$W$165))+1,""),""),ROW()-ROW(A$167)+1))),","),"")</f>
        <v>0</v>
      </c>
      <c r="X249">
        <f t="array" ref="X249">IFERROR(CONCATENATE(TEXT(INDEX($W$7:$W$165,SMALL(IF($Z$7:$Z$165&lt;&gt;"",IF($W$7:$W$165&lt;&gt;"",ROW($W$7:$W$165)-MIN(ROW($W$7:$W$165))+1,""),""),ROW()-ROW(A$167)+1)),"##0"),","),"")</f>
        <v>0</v>
      </c>
      <c r="Y249">
        <f t="array" ref="Y249">IFERROR(CONCATENATE((INDEX($A$7:$A$165,SMALL(IF($Z$7:$Z$165&lt;&gt;"",IF($W$7:$W$165&lt;&gt;"",ROW($W$7:$W$165)-MIN(ROW($W$7:$W$165))+1,""),""),ROW()-ROW(A$167)+1))),),"")</f>
        <v>0</v>
      </c>
    </row>
    <row r="250" spans="11:25">
      <c r="K250">
        <f t="array" ref="K250">IFERROR(CONCATENATE(TEXT(INDEX($K$7:$K$165,SMALL(IF($N$7:$N$165&lt;&gt;"",IF($K$7:$K$165&lt;&gt;"",ROW($K$7:$K$165)-MIN(ROW($K$7:$K$165))+1,""),""),ROW()-ROW(A$167)+1)),"##0"),","),"")</f>
        <v>0</v>
      </c>
      <c r="L250">
        <f t="array" ref="L250">IFERROR(CONCATENATE((INDEX($N$7:$N$165,SMALL(IF($N$7:$N$165&lt;&gt;"",IF($K$7:$K$165&lt;&gt;"",ROW($K$7:$K$165)-MIN(ROW($K$7:$K$165))+1,""),""),ROW()-ROW(A$167)+1))),","),"")</f>
        <v>0</v>
      </c>
      <c r="M250">
        <f t="array" ref="M250">IFERROR(CONCATENATE((INDEX($A$7:$A$165,SMALL(IF($N$7:$N$165&lt;&gt;"",IF($K$7:$K$165&lt;&gt;"",ROW($K$7:$K$165)-MIN(ROW($K$7:$K$165))+1,""),""),ROW()-ROW(A$167)+1))),),"")</f>
        <v>0</v>
      </c>
      <c r="Q250">
        <f t="array" ref="Q250">IFERROR(CONCATENATE((INDEX($T$7:$T$165,SMALL(IF($T$7:$T$165&lt;&gt;"",IF($Q$7:$Q$165&lt;&gt;"",ROW($Q$7:$Q$165)-MIN(ROW($Q$7:$Q$165))+1,""),""),ROW()-ROW(A$167)+1)))," "),"")</f>
        <v>0</v>
      </c>
      <c r="R250">
        <f t="array" ref="R250">IFERROR(CONCATENATE(TEXT(INDEX($Q$7:$Q$165,SMALL(IF($T$7:$T$165&lt;&gt;"",IF($Q$7:$Q$165&lt;&gt;"",ROW($Q$7:$Q$165)-MIN(ROW($Q$7:$Q$165))+1,""),""),ROW()-ROW(A$167)+1)),"##0")," "),"")</f>
        <v>0</v>
      </c>
      <c r="S250">
        <f t="array" ref="S250">IFERROR(CONCATENATE((INDEX($A$7:$A$165,SMALL(IF($T$7:$T$165&lt;&gt;"",IF($Q$7:$Q$165&lt;&gt;"",ROW($Q$7:$Q$165)-MIN(ROW($Q$7:$Q$165))+1,""),""),ROW()-ROW(A$167)+1))),),"")</f>
        <v>0</v>
      </c>
      <c r="W250">
        <f t="array" ref="W250">IFERROR(CONCATENATE((INDEX($Z$7:$Z$165,SMALL(IF($Z$7:$Z$165&lt;&gt;"",IF($W$7:$W$165&lt;&gt;"",ROW($W$7:$W$165)-MIN(ROW($W$7:$W$165))+1,""),""),ROW()-ROW(A$167)+1))),","),"")</f>
        <v>0</v>
      </c>
      <c r="X250">
        <f t="array" ref="X250">IFERROR(CONCATENATE(TEXT(INDEX($W$7:$W$165,SMALL(IF($Z$7:$Z$165&lt;&gt;"",IF($W$7:$W$165&lt;&gt;"",ROW($W$7:$W$165)-MIN(ROW($W$7:$W$165))+1,""),""),ROW()-ROW(A$167)+1)),"##0"),","),"")</f>
        <v>0</v>
      </c>
      <c r="Y250">
        <f t="array" ref="Y250">IFERROR(CONCATENATE((INDEX($A$7:$A$165,SMALL(IF($Z$7:$Z$165&lt;&gt;"",IF($W$7:$W$165&lt;&gt;"",ROW($W$7:$W$165)-MIN(ROW($W$7:$W$165))+1,""),""),ROW()-ROW(A$167)+1))),),"")</f>
        <v>0</v>
      </c>
    </row>
    <row r="251" spans="11:25">
      <c r="K251">
        <f t="array" ref="K251">IFERROR(CONCATENATE(TEXT(INDEX($K$7:$K$165,SMALL(IF($N$7:$N$165&lt;&gt;"",IF($K$7:$K$165&lt;&gt;"",ROW($K$7:$K$165)-MIN(ROW($K$7:$K$165))+1,""),""),ROW()-ROW(A$167)+1)),"##0"),","),"")</f>
        <v>0</v>
      </c>
      <c r="L251">
        <f t="array" ref="L251">IFERROR(CONCATENATE((INDEX($N$7:$N$165,SMALL(IF($N$7:$N$165&lt;&gt;"",IF($K$7:$K$165&lt;&gt;"",ROW($K$7:$K$165)-MIN(ROW($K$7:$K$165))+1,""),""),ROW()-ROW(A$167)+1))),","),"")</f>
        <v>0</v>
      </c>
      <c r="M251">
        <f t="array" ref="M251">IFERROR(CONCATENATE((INDEX($A$7:$A$165,SMALL(IF($N$7:$N$165&lt;&gt;"",IF($K$7:$K$165&lt;&gt;"",ROW($K$7:$K$165)-MIN(ROW($K$7:$K$165))+1,""),""),ROW()-ROW(A$167)+1))),),"")</f>
        <v>0</v>
      </c>
      <c r="Q251">
        <f t="array" ref="Q251">IFERROR(CONCATENATE((INDEX($T$7:$T$165,SMALL(IF($T$7:$T$165&lt;&gt;"",IF($Q$7:$Q$165&lt;&gt;"",ROW($Q$7:$Q$165)-MIN(ROW($Q$7:$Q$165))+1,""),""),ROW()-ROW(A$167)+1)))," "),"")</f>
        <v>0</v>
      </c>
      <c r="R251">
        <f t="array" ref="R251">IFERROR(CONCATENATE(TEXT(INDEX($Q$7:$Q$165,SMALL(IF($T$7:$T$165&lt;&gt;"",IF($Q$7:$Q$165&lt;&gt;"",ROW($Q$7:$Q$165)-MIN(ROW($Q$7:$Q$165))+1,""),""),ROW()-ROW(A$167)+1)),"##0")," "),"")</f>
        <v>0</v>
      </c>
      <c r="S251">
        <f t="array" ref="S251">IFERROR(CONCATENATE((INDEX($A$7:$A$165,SMALL(IF($T$7:$T$165&lt;&gt;"",IF($Q$7:$Q$165&lt;&gt;"",ROW($Q$7:$Q$165)-MIN(ROW($Q$7:$Q$165))+1,""),""),ROW()-ROW(A$167)+1))),),"")</f>
        <v>0</v>
      </c>
      <c r="W251">
        <f t="array" ref="W251">IFERROR(CONCATENATE((INDEX($Z$7:$Z$165,SMALL(IF($Z$7:$Z$165&lt;&gt;"",IF($W$7:$W$165&lt;&gt;"",ROW($W$7:$W$165)-MIN(ROW($W$7:$W$165))+1,""),""),ROW()-ROW(A$167)+1))),","),"")</f>
        <v>0</v>
      </c>
      <c r="X251">
        <f t="array" ref="X251">IFERROR(CONCATENATE(TEXT(INDEX($W$7:$W$165,SMALL(IF($Z$7:$Z$165&lt;&gt;"",IF($W$7:$W$165&lt;&gt;"",ROW($W$7:$W$165)-MIN(ROW($W$7:$W$165))+1,""),""),ROW()-ROW(A$167)+1)),"##0"),","),"")</f>
        <v>0</v>
      </c>
      <c r="Y251">
        <f t="array" ref="Y251">IFERROR(CONCATENATE((INDEX($A$7:$A$165,SMALL(IF($Z$7:$Z$165&lt;&gt;"",IF($W$7:$W$165&lt;&gt;"",ROW($W$7:$W$165)-MIN(ROW($W$7:$W$165))+1,""),""),ROW()-ROW(A$167)+1))),),"")</f>
        <v>0</v>
      </c>
    </row>
    <row r="252" spans="11:25">
      <c r="K252">
        <f t="array" ref="K252">IFERROR(CONCATENATE(TEXT(INDEX($K$7:$K$165,SMALL(IF($N$7:$N$165&lt;&gt;"",IF($K$7:$K$165&lt;&gt;"",ROW($K$7:$K$165)-MIN(ROW($K$7:$K$165))+1,""),""),ROW()-ROW(A$167)+1)),"##0"),","),"")</f>
        <v>0</v>
      </c>
      <c r="L252">
        <f t="array" ref="L252">IFERROR(CONCATENATE((INDEX($N$7:$N$165,SMALL(IF($N$7:$N$165&lt;&gt;"",IF($K$7:$K$165&lt;&gt;"",ROW($K$7:$K$165)-MIN(ROW($K$7:$K$165))+1,""),""),ROW()-ROW(A$167)+1))),","),"")</f>
        <v>0</v>
      </c>
      <c r="M252">
        <f t="array" ref="M252">IFERROR(CONCATENATE((INDEX($A$7:$A$165,SMALL(IF($N$7:$N$165&lt;&gt;"",IF($K$7:$K$165&lt;&gt;"",ROW($K$7:$K$165)-MIN(ROW($K$7:$K$165))+1,""),""),ROW()-ROW(A$167)+1))),),"")</f>
        <v>0</v>
      </c>
      <c r="Q252">
        <f t="array" ref="Q252">IFERROR(CONCATENATE((INDEX($T$7:$T$165,SMALL(IF($T$7:$T$165&lt;&gt;"",IF($Q$7:$Q$165&lt;&gt;"",ROW($Q$7:$Q$165)-MIN(ROW($Q$7:$Q$165))+1,""),""),ROW()-ROW(A$167)+1)))," "),"")</f>
        <v>0</v>
      </c>
      <c r="R252">
        <f t="array" ref="R252">IFERROR(CONCATENATE(TEXT(INDEX($Q$7:$Q$165,SMALL(IF($T$7:$T$165&lt;&gt;"",IF($Q$7:$Q$165&lt;&gt;"",ROW($Q$7:$Q$165)-MIN(ROW($Q$7:$Q$165))+1,""),""),ROW()-ROW(A$167)+1)),"##0")," "),"")</f>
        <v>0</v>
      </c>
      <c r="S252">
        <f t="array" ref="S252">IFERROR(CONCATENATE((INDEX($A$7:$A$165,SMALL(IF($T$7:$T$165&lt;&gt;"",IF($Q$7:$Q$165&lt;&gt;"",ROW($Q$7:$Q$165)-MIN(ROW($Q$7:$Q$165))+1,""),""),ROW()-ROW(A$167)+1))),),"")</f>
        <v>0</v>
      </c>
      <c r="W252">
        <f t="array" ref="W252">IFERROR(CONCATENATE((INDEX($Z$7:$Z$165,SMALL(IF($Z$7:$Z$165&lt;&gt;"",IF($W$7:$W$165&lt;&gt;"",ROW($W$7:$W$165)-MIN(ROW($W$7:$W$165))+1,""),""),ROW()-ROW(A$167)+1))),","),"")</f>
        <v>0</v>
      </c>
      <c r="X252">
        <f t="array" ref="X252">IFERROR(CONCATENATE(TEXT(INDEX($W$7:$W$165,SMALL(IF($Z$7:$Z$165&lt;&gt;"",IF($W$7:$W$165&lt;&gt;"",ROW($W$7:$W$165)-MIN(ROW($W$7:$W$165))+1,""),""),ROW()-ROW(A$167)+1)),"##0"),","),"")</f>
        <v>0</v>
      </c>
      <c r="Y252">
        <f t="array" ref="Y252">IFERROR(CONCATENATE((INDEX($A$7:$A$165,SMALL(IF($Z$7:$Z$165&lt;&gt;"",IF($W$7:$W$165&lt;&gt;"",ROW($W$7:$W$165)-MIN(ROW($W$7:$W$165))+1,""),""),ROW()-ROW(A$167)+1))),),"")</f>
        <v>0</v>
      </c>
    </row>
    <row r="253" spans="11:25">
      <c r="K253">
        <f t="array" ref="K253">IFERROR(CONCATENATE(TEXT(INDEX($K$7:$K$165,SMALL(IF($N$7:$N$165&lt;&gt;"",IF($K$7:$K$165&lt;&gt;"",ROW($K$7:$K$165)-MIN(ROW($K$7:$K$165))+1,""),""),ROW()-ROW(A$167)+1)),"##0"),","),"")</f>
        <v>0</v>
      </c>
      <c r="L253">
        <f t="array" ref="L253">IFERROR(CONCATENATE((INDEX($N$7:$N$165,SMALL(IF($N$7:$N$165&lt;&gt;"",IF($K$7:$K$165&lt;&gt;"",ROW($K$7:$K$165)-MIN(ROW($K$7:$K$165))+1,""),""),ROW()-ROW(A$167)+1))),","),"")</f>
        <v>0</v>
      </c>
      <c r="M253">
        <f t="array" ref="M253">IFERROR(CONCATENATE((INDEX($A$7:$A$165,SMALL(IF($N$7:$N$165&lt;&gt;"",IF($K$7:$K$165&lt;&gt;"",ROW($K$7:$K$165)-MIN(ROW($K$7:$K$165))+1,""),""),ROW()-ROW(A$167)+1))),),"")</f>
        <v>0</v>
      </c>
      <c r="Q253">
        <f t="array" ref="Q253">IFERROR(CONCATENATE((INDEX($T$7:$T$165,SMALL(IF($T$7:$T$165&lt;&gt;"",IF($Q$7:$Q$165&lt;&gt;"",ROW($Q$7:$Q$165)-MIN(ROW($Q$7:$Q$165))+1,""),""),ROW()-ROW(A$167)+1)))," "),"")</f>
        <v>0</v>
      </c>
      <c r="R253">
        <f t="array" ref="R253">IFERROR(CONCATENATE(TEXT(INDEX($Q$7:$Q$165,SMALL(IF($T$7:$T$165&lt;&gt;"",IF($Q$7:$Q$165&lt;&gt;"",ROW($Q$7:$Q$165)-MIN(ROW($Q$7:$Q$165))+1,""),""),ROW()-ROW(A$167)+1)),"##0")," "),"")</f>
        <v>0</v>
      </c>
      <c r="S253">
        <f t="array" ref="S253">IFERROR(CONCATENATE((INDEX($A$7:$A$165,SMALL(IF($T$7:$T$165&lt;&gt;"",IF($Q$7:$Q$165&lt;&gt;"",ROW($Q$7:$Q$165)-MIN(ROW($Q$7:$Q$165))+1,""),""),ROW()-ROW(A$167)+1))),),"")</f>
        <v>0</v>
      </c>
      <c r="W253">
        <f t="array" ref="W253">IFERROR(CONCATENATE((INDEX($Z$7:$Z$165,SMALL(IF($Z$7:$Z$165&lt;&gt;"",IF($W$7:$W$165&lt;&gt;"",ROW($W$7:$W$165)-MIN(ROW($W$7:$W$165))+1,""),""),ROW()-ROW(A$167)+1))),","),"")</f>
        <v>0</v>
      </c>
      <c r="X253">
        <f t="array" ref="X253">IFERROR(CONCATENATE(TEXT(INDEX($W$7:$W$165,SMALL(IF($Z$7:$Z$165&lt;&gt;"",IF($W$7:$W$165&lt;&gt;"",ROW($W$7:$W$165)-MIN(ROW($W$7:$W$165))+1,""),""),ROW()-ROW(A$167)+1)),"##0"),","),"")</f>
        <v>0</v>
      </c>
      <c r="Y253">
        <f t="array" ref="Y253">IFERROR(CONCATENATE((INDEX($A$7:$A$165,SMALL(IF($Z$7:$Z$165&lt;&gt;"",IF($W$7:$W$165&lt;&gt;"",ROW($W$7:$W$165)-MIN(ROW($W$7:$W$165))+1,""),""),ROW()-ROW(A$167)+1))),),"")</f>
        <v>0</v>
      </c>
    </row>
    <row r="254" spans="11:25">
      <c r="K254">
        <f t="array" ref="K254">IFERROR(CONCATENATE(TEXT(INDEX($K$7:$K$165,SMALL(IF($N$7:$N$165&lt;&gt;"",IF($K$7:$K$165&lt;&gt;"",ROW($K$7:$K$165)-MIN(ROW($K$7:$K$165))+1,""),""),ROW()-ROW(A$167)+1)),"##0"),","),"")</f>
        <v>0</v>
      </c>
      <c r="L254">
        <f t="array" ref="L254">IFERROR(CONCATENATE((INDEX($N$7:$N$165,SMALL(IF($N$7:$N$165&lt;&gt;"",IF($K$7:$K$165&lt;&gt;"",ROW($K$7:$K$165)-MIN(ROW($K$7:$K$165))+1,""),""),ROW()-ROW(A$167)+1))),","),"")</f>
        <v>0</v>
      </c>
      <c r="M254">
        <f t="array" ref="M254">IFERROR(CONCATENATE((INDEX($A$7:$A$165,SMALL(IF($N$7:$N$165&lt;&gt;"",IF($K$7:$K$165&lt;&gt;"",ROW($K$7:$K$165)-MIN(ROW($K$7:$K$165))+1,""),""),ROW()-ROW(A$167)+1))),),"")</f>
        <v>0</v>
      </c>
      <c r="Q254">
        <f t="array" ref="Q254">IFERROR(CONCATENATE((INDEX($T$7:$T$165,SMALL(IF($T$7:$T$165&lt;&gt;"",IF($Q$7:$Q$165&lt;&gt;"",ROW($Q$7:$Q$165)-MIN(ROW($Q$7:$Q$165))+1,""),""),ROW()-ROW(A$167)+1)))," "),"")</f>
        <v>0</v>
      </c>
      <c r="R254">
        <f t="array" ref="R254">IFERROR(CONCATENATE(TEXT(INDEX($Q$7:$Q$165,SMALL(IF($T$7:$T$165&lt;&gt;"",IF($Q$7:$Q$165&lt;&gt;"",ROW($Q$7:$Q$165)-MIN(ROW($Q$7:$Q$165))+1,""),""),ROW()-ROW(A$167)+1)),"##0")," "),"")</f>
        <v>0</v>
      </c>
      <c r="S254">
        <f t="array" ref="S254">IFERROR(CONCATENATE((INDEX($A$7:$A$165,SMALL(IF($T$7:$T$165&lt;&gt;"",IF($Q$7:$Q$165&lt;&gt;"",ROW($Q$7:$Q$165)-MIN(ROW($Q$7:$Q$165))+1,""),""),ROW()-ROW(A$167)+1))),),"")</f>
        <v>0</v>
      </c>
      <c r="W254">
        <f t="array" ref="W254">IFERROR(CONCATENATE((INDEX($Z$7:$Z$165,SMALL(IF($Z$7:$Z$165&lt;&gt;"",IF($W$7:$W$165&lt;&gt;"",ROW($W$7:$W$165)-MIN(ROW($W$7:$W$165))+1,""),""),ROW()-ROW(A$167)+1))),","),"")</f>
        <v>0</v>
      </c>
      <c r="X254">
        <f t="array" ref="X254">IFERROR(CONCATENATE(TEXT(INDEX($W$7:$W$165,SMALL(IF($Z$7:$Z$165&lt;&gt;"",IF($W$7:$W$165&lt;&gt;"",ROW($W$7:$W$165)-MIN(ROW($W$7:$W$165))+1,""),""),ROW()-ROW(A$167)+1)),"##0"),","),"")</f>
        <v>0</v>
      </c>
      <c r="Y254">
        <f t="array" ref="Y254">IFERROR(CONCATENATE((INDEX($A$7:$A$165,SMALL(IF($Z$7:$Z$165&lt;&gt;"",IF($W$7:$W$165&lt;&gt;"",ROW($W$7:$W$165)-MIN(ROW($W$7:$W$165))+1,""),""),ROW()-ROW(A$167)+1))),),"")</f>
        <v>0</v>
      </c>
    </row>
    <row r="255" spans="11:25">
      <c r="K255">
        <f t="array" ref="K255">IFERROR(CONCATENATE(TEXT(INDEX($K$7:$K$165,SMALL(IF($N$7:$N$165&lt;&gt;"",IF($K$7:$K$165&lt;&gt;"",ROW($K$7:$K$165)-MIN(ROW($K$7:$K$165))+1,""),""),ROW()-ROW(A$167)+1)),"##0"),","),"")</f>
        <v>0</v>
      </c>
      <c r="L255">
        <f t="array" ref="L255">IFERROR(CONCATENATE((INDEX($N$7:$N$165,SMALL(IF($N$7:$N$165&lt;&gt;"",IF($K$7:$K$165&lt;&gt;"",ROW($K$7:$K$165)-MIN(ROW($K$7:$K$165))+1,""),""),ROW()-ROW(A$167)+1))),","),"")</f>
        <v>0</v>
      </c>
      <c r="M255">
        <f t="array" ref="M255">IFERROR(CONCATENATE((INDEX($A$7:$A$165,SMALL(IF($N$7:$N$165&lt;&gt;"",IF($K$7:$K$165&lt;&gt;"",ROW($K$7:$K$165)-MIN(ROW($K$7:$K$165))+1,""),""),ROW()-ROW(A$167)+1))),),"")</f>
        <v>0</v>
      </c>
      <c r="Q255">
        <f t="array" ref="Q255">IFERROR(CONCATENATE((INDEX($T$7:$T$165,SMALL(IF($T$7:$T$165&lt;&gt;"",IF($Q$7:$Q$165&lt;&gt;"",ROW($Q$7:$Q$165)-MIN(ROW($Q$7:$Q$165))+1,""),""),ROW()-ROW(A$167)+1)))," "),"")</f>
        <v>0</v>
      </c>
      <c r="R255">
        <f t="array" ref="R255">IFERROR(CONCATENATE(TEXT(INDEX($Q$7:$Q$165,SMALL(IF($T$7:$T$165&lt;&gt;"",IF($Q$7:$Q$165&lt;&gt;"",ROW($Q$7:$Q$165)-MIN(ROW($Q$7:$Q$165))+1,""),""),ROW()-ROW(A$167)+1)),"##0")," "),"")</f>
        <v>0</v>
      </c>
      <c r="S255">
        <f t="array" ref="S255">IFERROR(CONCATENATE((INDEX($A$7:$A$165,SMALL(IF($T$7:$T$165&lt;&gt;"",IF($Q$7:$Q$165&lt;&gt;"",ROW($Q$7:$Q$165)-MIN(ROW($Q$7:$Q$165))+1,""),""),ROW()-ROW(A$167)+1))),),"")</f>
        <v>0</v>
      </c>
      <c r="W255">
        <f t="array" ref="W255">IFERROR(CONCATENATE((INDEX($Z$7:$Z$165,SMALL(IF($Z$7:$Z$165&lt;&gt;"",IF($W$7:$W$165&lt;&gt;"",ROW($W$7:$W$165)-MIN(ROW($W$7:$W$165))+1,""),""),ROW()-ROW(A$167)+1))),","),"")</f>
        <v>0</v>
      </c>
      <c r="X255">
        <f t="array" ref="X255">IFERROR(CONCATENATE(TEXT(INDEX($W$7:$W$165,SMALL(IF($Z$7:$Z$165&lt;&gt;"",IF($W$7:$W$165&lt;&gt;"",ROW($W$7:$W$165)-MIN(ROW($W$7:$W$165))+1,""),""),ROW()-ROW(A$167)+1)),"##0"),","),"")</f>
        <v>0</v>
      </c>
      <c r="Y255">
        <f t="array" ref="Y255">IFERROR(CONCATENATE((INDEX($A$7:$A$165,SMALL(IF($Z$7:$Z$165&lt;&gt;"",IF($W$7:$W$165&lt;&gt;"",ROW($W$7:$W$165)-MIN(ROW($W$7:$W$165))+1,""),""),ROW()-ROW(A$167)+1))),),"")</f>
        <v>0</v>
      </c>
    </row>
    <row r="256" spans="11:25">
      <c r="K256">
        <f t="array" ref="K256">IFERROR(CONCATENATE(TEXT(INDEX($K$7:$K$165,SMALL(IF($N$7:$N$165&lt;&gt;"",IF($K$7:$K$165&lt;&gt;"",ROW($K$7:$K$165)-MIN(ROW($K$7:$K$165))+1,""),""),ROW()-ROW(A$167)+1)),"##0"),","),"")</f>
        <v>0</v>
      </c>
      <c r="L256">
        <f t="array" ref="L256">IFERROR(CONCATENATE((INDEX($N$7:$N$165,SMALL(IF($N$7:$N$165&lt;&gt;"",IF($K$7:$K$165&lt;&gt;"",ROW($K$7:$K$165)-MIN(ROW($K$7:$K$165))+1,""),""),ROW()-ROW(A$167)+1))),","),"")</f>
        <v>0</v>
      </c>
      <c r="M256">
        <f t="array" ref="M256">IFERROR(CONCATENATE((INDEX($A$7:$A$165,SMALL(IF($N$7:$N$165&lt;&gt;"",IF($K$7:$K$165&lt;&gt;"",ROW($K$7:$K$165)-MIN(ROW($K$7:$K$165))+1,""),""),ROW()-ROW(A$167)+1))),),"")</f>
        <v>0</v>
      </c>
      <c r="Q256">
        <f t="array" ref="Q256">IFERROR(CONCATENATE((INDEX($T$7:$T$165,SMALL(IF($T$7:$T$165&lt;&gt;"",IF($Q$7:$Q$165&lt;&gt;"",ROW($Q$7:$Q$165)-MIN(ROW($Q$7:$Q$165))+1,""),""),ROW()-ROW(A$167)+1)))," "),"")</f>
        <v>0</v>
      </c>
      <c r="R256">
        <f t="array" ref="R256">IFERROR(CONCATENATE(TEXT(INDEX($Q$7:$Q$165,SMALL(IF($T$7:$T$165&lt;&gt;"",IF($Q$7:$Q$165&lt;&gt;"",ROW($Q$7:$Q$165)-MIN(ROW($Q$7:$Q$165))+1,""),""),ROW()-ROW(A$167)+1)),"##0")," "),"")</f>
        <v>0</v>
      </c>
      <c r="S256">
        <f t="array" ref="S256">IFERROR(CONCATENATE((INDEX($A$7:$A$165,SMALL(IF($T$7:$T$165&lt;&gt;"",IF($Q$7:$Q$165&lt;&gt;"",ROW($Q$7:$Q$165)-MIN(ROW($Q$7:$Q$165))+1,""),""),ROW()-ROW(A$167)+1))),),"")</f>
        <v>0</v>
      </c>
      <c r="W256">
        <f t="array" ref="W256">IFERROR(CONCATENATE((INDEX($Z$7:$Z$165,SMALL(IF($Z$7:$Z$165&lt;&gt;"",IF($W$7:$W$165&lt;&gt;"",ROW($W$7:$W$165)-MIN(ROW($W$7:$W$165))+1,""),""),ROW()-ROW(A$167)+1))),","),"")</f>
        <v>0</v>
      </c>
      <c r="X256">
        <f t="array" ref="X256">IFERROR(CONCATENATE(TEXT(INDEX($W$7:$W$165,SMALL(IF($Z$7:$Z$165&lt;&gt;"",IF($W$7:$W$165&lt;&gt;"",ROW($W$7:$W$165)-MIN(ROW($W$7:$W$165))+1,""),""),ROW()-ROW(A$167)+1)),"##0"),","),"")</f>
        <v>0</v>
      </c>
      <c r="Y256">
        <f t="array" ref="Y256">IFERROR(CONCATENATE((INDEX($A$7:$A$165,SMALL(IF($Z$7:$Z$165&lt;&gt;"",IF($W$7:$W$165&lt;&gt;"",ROW($W$7:$W$165)-MIN(ROW($W$7:$W$165))+1,""),""),ROW()-ROW(A$167)+1))),),"")</f>
        <v>0</v>
      </c>
    </row>
    <row r="257" spans="11:25">
      <c r="K257">
        <f t="array" ref="K257">IFERROR(CONCATENATE(TEXT(INDEX($K$7:$K$165,SMALL(IF($N$7:$N$165&lt;&gt;"",IF($K$7:$K$165&lt;&gt;"",ROW($K$7:$K$165)-MIN(ROW($K$7:$K$165))+1,""),""),ROW()-ROW(A$167)+1)),"##0"),","),"")</f>
        <v>0</v>
      </c>
      <c r="L257">
        <f t="array" ref="L257">IFERROR(CONCATENATE((INDEX($N$7:$N$165,SMALL(IF($N$7:$N$165&lt;&gt;"",IF($K$7:$K$165&lt;&gt;"",ROW($K$7:$K$165)-MIN(ROW($K$7:$K$165))+1,""),""),ROW()-ROW(A$167)+1))),","),"")</f>
        <v>0</v>
      </c>
      <c r="M257">
        <f t="array" ref="M257">IFERROR(CONCATENATE((INDEX($A$7:$A$165,SMALL(IF($N$7:$N$165&lt;&gt;"",IF($K$7:$K$165&lt;&gt;"",ROW($K$7:$K$165)-MIN(ROW($K$7:$K$165))+1,""),""),ROW()-ROW(A$167)+1))),),"")</f>
        <v>0</v>
      </c>
      <c r="Q257">
        <f t="array" ref="Q257">IFERROR(CONCATENATE((INDEX($T$7:$T$165,SMALL(IF($T$7:$T$165&lt;&gt;"",IF($Q$7:$Q$165&lt;&gt;"",ROW($Q$7:$Q$165)-MIN(ROW($Q$7:$Q$165))+1,""),""),ROW()-ROW(A$167)+1)))," "),"")</f>
        <v>0</v>
      </c>
      <c r="R257">
        <f t="array" ref="R257">IFERROR(CONCATENATE(TEXT(INDEX($Q$7:$Q$165,SMALL(IF($T$7:$T$165&lt;&gt;"",IF($Q$7:$Q$165&lt;&gt;"",ROW($Q$7:$Q$165)-MIN(ROW($Q$7:$Q$165))+1,""),""),ROW()-ROW(A$167)+1)),"##0")," "),"")</f>
        <v>0</v>
      </c>
      <c r="S257">
        <f t="array" ref="S257">IFERROR(CONCATENATE((INDEX($A$7:$A$165,SMALL(IF($T$7:$T$165&lt;&gt;"",IF($Q$7:$Q$165&lt;&gt;"",ROW($Q$7:$Q$165)-MIN(ROW($Q$7:$Q$165))+1,""),""),ROW()-ROW(A$167)+1))),),"")</f>
        <v>0</v>
      </c>
      <c r="W257">
        <f t="array" ref="W257">IFERROR(CONCATENATE((INDEX($Z$7:$Z$165,SMALL(IF($Z$7:$Z$165&lt;&gt;"",IF($W$7:$W$165&lt;&gt;"",ROW($W$7:$W$165)-MIN(ROW($W$7:$W$165))+1,""),""),ROW()-ROW(A$167)+1))),","),"")</f>
        <v>0</v>
      </c>
      <c r="X257">
        <f t="array" ref="X257">IFERROR(CONCATENATE(TEXT(INDEX($W$7:$W$165,SMALL(IF($Z$7:$Z$165&lt;&gt;"",IF($W$7:$W$165&lt;&gt;"",ROW($W$7:$W$165)-MIN(ROW($W$7:$W$165))+1,""),""),ROW()-ROW(A$167)+1)),"##0"),","),"")</f>
        <v>0</v>
      </c>
      <c r="Y257">
        <f t="array" ref="Y257">IFERROR(CONCATENATE((INDEX($A$7:$A$165,SMALL(IF($Z$7:$Z$165&lt;&gt;"",IF($W$7:$W$165&lt;&gt;"",ROW($W$7:$W$165)-MIN(ROW($W$7:$W$165))+1,""),""),ROW()-ROW(A$167)+1))),),"")</f>
        <v>0</v>
      </c>
    </row>
    <row r="258" spans="11:25">
      <c r="K258">
        <f t="array" ref="K258">IFERROR(CONCATENATE(TEXT(INDEX($K$7:$K$165,SMALL(IF($N$7:$N$165&lt;&gt;"",IF($K$7:$K$165&lt;&gt;"",ROW($K$7:$K$165)-MIN(ROW($K$7:$K$165))+1,""),""),ROW()-ROW(A$167)+1)),"##0"),","),"")</f>
        <v>0</v>
      </c>
      <c r="L258">
        <f t="array" ref="L258">IFERROR(CONCATENATE((INDEX($N$7:$N$165,SMALL(IF($N$7:$N$165&lt;&gt;"",IF($K$7:$K$165&lt;&gt;"",ROW($K$7:$K$165)-MIN(ROW($K$7:$K$165))+1,""),""),ROW()-ROW(A$167)+1))),","),"")</f>
        <v>0</v>
      </c>
      <c r="M258">
        <f t="array" ref="M258">IFERROR(CONCATENATE((INDEX($A$7:$A$165,SMALL(IF($N$7:$N$165&lt;&gt;"",IF($K$7:$K$165&lt;&gt;"",ROW($K$7:$K$165)-MIN(ROW($K$7:$K$165))+1,""),""),ROW()-ROW(A$167)+1))),),"")</f>
        <v>0</v>
      </c>
      <c r="Q258">
        <f t="array" ref="Q258">IFERROR(CONCATENATE((INDEX($T$7:$T$165,SMALL(IF($T$7:$T$165&lt;&gt;"",IF($Q$7:$Q$165&lt;&gt;"",ROW($Q$7:$Q$165)-MIN(ROW($Q$7:$Q$165))+1,""),""),ROW()-ROW(A$167)+1)))," "),"")</f>
        <v>0</v>
      </c>
      <c r="R258">
        <f t="array" ref="R258">IFERROR(CONCATENATE(TEXT(INDEX($Q$7:$Q$165,SMALL(IF($T$7:$T$165&lt;&gt;"",IF($Q$7:$Q$165&lt;&gt;"",ROW($Q$7:$Q$165)-MIN(ROW($Q$7:$Q$165))+1,""),""),ROW()-ROW(A$167)+1)),"##0")," "),"")</f>
        <v>0</v>
      </c>
      <c r="S258">
        <f t="array" ref="S258">IFERROR(CONCATENATE((INDEX($A$7:$A$165,SMALL(IF($T$7:$T$165&lt;&gt;"",IF($Q$7:$Q$165&lt;&gt;"",ROW($Q$7:$Q$165)-MIN(ROW($Q$7:$Q$165))+1,""),""),ROW()-ROW(A$167)+1))),),"")</f>
        <v>0</v>
      </c>
      <c r="W258">
        <f t="array" ref="W258">IFERROR(CONCATENATE((INDEX($Z$7:$Z$165,SMALL(IF($Z$7:$Z$165&lt;&gt;"",IF($W$7:$W$165&lt;&gt;"",ROW($W$7:$W$165)-MIN(ROW($W$7:$W$165))+1,""),""),ROW()-ROW(A$167)+1))),","),"")</f>
        <v>0</v>
      </c>
      <c r="X258">
        <f t="array" ref="X258">IFERROR(CONCATENATE(TEXT(INDEX($W$7:$W$165,SMALL(IF($Z$7:$Z$165&lt;&gt;"",IF($W$7:$W$165&lt;&gt;"",ROW($W$7:$W$165)-MIN(ROW($W$7:$W$165))+1,""),""),ROW()-ROW(A$167)+1)),"##0"),","),"")</f>
        <v>0</v>
      </c>
      <c r="Y258">
        <f t="array" ref="Y258">IFERROR(CONCATENATE((INDEX($A$7:$A$165,SMALL(IF($Z$7:$Z$165&lt;&gt;"",IF($W$7:$W$165&lt;&gt;"",ROW($W$7:$W$165)-MIN(ROW($W$7:$W$165))+1,""),""),ROW()-ROW(A$167)+1))),),"")</f>
        <v>0</v>
      </c>
    </row>
    <row r="259" spans="11:25">
      <c r="K259">
        <f t="array" ref="K259">IFERROR(CONCATENATE(TEXT(INDEX($K$7:$K$165,SMALL(IF($N$7:$N$165&lt;&gt;"",IF($K$7:$K$165&lt;&gt;"",ROW($K$7:$K$165)-MIN(ROW($K$7:$K$165))+1,""),""),ROW()-ROW(A$167)+1)),"##0"),","),"")</f>
        <v>0</v>
      </c>
      <c r="L259">
        <f t="array" ref="L259">IFERROR(CONCATENATE((INDEX($N$7:$N$165,SMALL(IF($N$7:$N$165&lt;&gt;"",IF($K$7:$K$165&lt;&gt;"",ROW($K$7:$K$165)-MIN(ROW($K$7:$K$165))+1,""),""),ROW()-ROW(A$167)+1))),","),"")</f>
        <v>0</v>
      </c>
      <c r="M259">
        <f t="array" ref="M259">IFERROR(CONCATENATE((INDEX($A$7:$A$165,SMALL(IF($N$7:$N$165&lt;&gt;"",IF($K$7:$K$165&lt;&gt;"",ROW($K$7:$K$165)-MIN(ROW($K$7:$K$165))+1,""),""),ROW()-ROW(A$167)+1))),),"")</f>
        <v>0</v>
      </c>
      <c r="Q259">
        <f t="array" ref="Q259">IFERROR(CONCATENATE((INDEX($T$7:$T$165,SMALL(IF($T$7:$T$165&lt;&gt;"",IF($Q$7:$Q$165&lt;&gt;"",ROW($Q$7:$Q$165)-MIN(ROW($Q$7:$Q$165))+1,""),""),ROW()-ROW(A$167)+1)))," "),"")</f>
        <v>0</v>
      </c>
      <c r="R259">
        <f t="array" ref="R259">IFERROR(CONCATENATE(TEXT(INDEX($Q$7:$Q$165,SMALL(IF($T$7:$T$165&lt;&gt;"",IF($Q$7:$Q$165&lt;&gt;"",ROW($Q$7:$Q$165)-MIN(ROW($Q$7:$Q$165))+1,""),""),ROW()-ROW(A$167)+1)),"##0")," "),"")</f>
        <v>0</v>
      </c>
      <c r="S259">
        <f t="array" ref="S259">IFERROR(CONCATENATE((INDEX($A$7:$A$165,SMALL(IF($T$7:$T$165&lt;&gt;"",IF($Q$7:$Q$165&lt;&gt;"",ROW($Q$7:$Q$165)-MIN(ROW($Q$7:$Q$165))+1,""),""),ROW()-ROW(A$167)+1))),),"")</f>
        <v>0</v>
      </c>
      <c r="W259">
        <f t="array" ref="W259">IFERROR(CONCATENATE((INDEX($Z$7:$Z$165,SMALL(IF($Z$7:$Z$165&lt;&gt;"",IF($W$7:$W$165&lt;&gt;"",ROW($W$7:$W$165)-MIN(ROW($W$7:$W$165))+1,""),""),ROW()-ROW(A$167)+1))),","),"")</f>
        <v>0</v>
      </c>
      <c r="X259">
        <f t="array" ref="X259">IFERROR(CONCATENATE(TEXT(INDEX($W$7:$W$165,SMALL(IF($Z$7:$Z$165&lt;&gt;"",IF($W$7:$W$165&lt;&gt;"",ROW($W$7:$W$165)-MIN(ROW($W$7:$W$165))+1,""),""),ROW()-ROW(A$167)+1)),"##0"),","),"")</f>
        <v>0</v>
      </c>
      <c r="Y259">
        <f t="array" ref="Y259">IFERROR(CONCATENATE((INDEX($A$7:$A$165,SMALL(IF($Z$7:$Z$165&lt;&gt;"",IF($W$7:$W$165&lt;&gt;"",ROW($W$7:$W$165)-MIN(ROW($W$7:$W$165))+1,""),""),ROW()-ROW(A$167)+1))),),"")</f>
        <v>0</v>
      </c>
    </row>
    <row r="260" spans="11:25">
      <c r="K260">
        <f t="array" ref="K260">IFERROR(CONCATENATE(TEXT(INDEX($K$7:$K$165,SMALL(IF($N$7:$N$165&lt;&gt;"",IF($K$7:$K$165&lt;&gt;"",ROW($K$7:$K$165)-MIN(ROW($K$7:$K$165))+1,""),""),ROW()-ROW(A$167)+1)),"##0"),","),"")</f>
        <v>0</v>
      </c>
      <c r="L260">
        <f t="array" ref="L260">IFERROR(CONCATENATE((INDEX($N$7:$N$165,SMALL(IF($N$7:$N$165&lt;&gt;"",IF($K$7:$K$165&lt;&gt;"",ROW($K$7:$K$165)-MIN(ROW($K$7:$K$165))+1,""),""),ROW()-ROW(A$167)+1))),","),"")</f>
        <v>0</v>
      </c>
      <c r="M260">
        <f t="array" ref="M260">IFERROR(CONCATENATE((INDEX($A$7:$A$165,SMALL(IF($N$7:$N$165&lt;&gt;"",IF($K$7:$K$165&lt;&gt;"",ROW($K$7:$K$165)-MIN(ROW($K$7:$K$165))+1,""),""),ROW()-ROW(A$167)+1))),),"")</f>
        <v>0</v>
      </c>
      <c r="Q260">
        <f t="array" ref="Q260">IFERROR(CONCATENATE((INDEX($T$7:$T$165,SMALL(IF($T$7:$T$165&lt;&gt;"",IF($Q$7:$Q$165&lt;&gt;"",ROW($Q$7:$Q$165)-MIN(ROW($Q$7:$Q$165))+1,""),""),ROW()-ROW(A$167)+1)))," "),"")</f>
        <v>0</v>
      </c>
      <c r="R260">
        <f t="array" ref="R260">IFERROR(CONCATENATE(TEXT(INDEX($Q$7:$Q$165,SMALL(IF($T$7:$T$165&lt;&gt;"",IF($Q$7:$Q$165&lt;&gt;"",ROW($Q$7:$Q$165)-MIN(ROW($Q$7:$Q$165))+1,""),""),ROW()-ROW(A$167)+1)),"##0")," "),"")</f>
        <v>0</v>
      </c>
      <c r="S260">
        <f t="array" ref="S260">IFERROR(CONCATENATE((INDEX($A$7:$A$165,SMALL(IF($T$7:$T$165&lt;&gt;"",IF($Q$7:$Q$165&lt;&gt;"",ROW($Q$7:$Q$165)-MIN(ROW($Q$7:$Q$165))+1,""),""),ROW()-ROW(A$167)+1))),),"")</f>
        <v>0</v>
      </c>
      <c r="W260">
        <f t="array" ref="W260">IFERROR(CONCATENATE((INDEX($Z$7:$Z$165,SMALL(IF($Z$7:$Z$165&lt;&gt;"",IF($W$7:$W$165&lt;&gt;"",ROW($W$7:$W$165)-MIN(ROW($W$7:$W$165))+1,""),""),ROW()-ROW(A$167)+1))),","),"")</f>
        <v>0</v>
      </c>
      <c r="X260">
        <f t="array" ref="X260">IFERROR(CONCATENATE(TEXT(INDEX($W$7:$W$165,SMALL(IF($Z$7:$Z$165&lt;&gt;"",IF($W$7:$W$165&lt;&gt;"",ROW($W$7:$W$165)-MIN(ROW($W$7:$W$165))+1,""),""),ROW()-ROW(A$167)+1)),"##0"),","),"")</f>
        <v>0</v>
      </c>
      <c r="Y260">
        <f t="array" ref="Y260">IFERROR(CONCATENATE((INDEX($A$7:$A$165,SMALL(IF($Z$7:$Z$165&lt;&gt;"",IF($W$7:$W$165&lt;&gt;"",ROW($W$7:$W$165)-MIN(ROW($W$7:$W$165))+1,""),""),ROW()-ROW(A$167)+1))),),"")</f>
        <v>0</v>
      </c>
    </row>
    <row r="261" spans="11:25">
      <c r="K261">
        <f t="array" ref="K261">IFERROR(CONCATENATE(TEXT(INDEX($K$7:$K$165,SMALL(IF($N$7:$N$165&lt;&gt;"",IF($K$7:$K$165&lt;&gt;"",ROW($K$7:$K$165)-MIN(ROW($K$7:$K$165))+1,""),""),ROW()-ROW(A$167)+1)),"##0"),","),"")</f>
        <v>0</v>
      </c>
      <c r="L261">
        <f t="array" ref="L261">IFERROR(CONCATENATE((INDEX($N$7:$N$165,SMALL(IF($N$7:$N$165&lt;&gt;"",IF($K$7:$K$165&lt;&gt;"",ROW($K$7:$K$165)-MIN(ROW($K$7:$K$165))+1,""),""),ROW()-ROW(A$167)+1))),","),"")</f>
        <v>0</v>
      </c>
      <c r="M261">
        <f t="array" ref="M261">IFERROR(CONCATENATE((INDEX($A$7:$A$165,SMALL(IF($N$7:$N$165&lt;&gt;"",IF($K$7:$K$165&lt;&gt;"",ROW($K$7:$K$165)-MIN(ROW($K$7:$K$165))+1,""),""),ROW()-ROW(A$167)+1))),),"")</f>
        <v>0</v>
      </c>
      <c r="Q261">
        <f t="array" ref="Q261">IFERROR(CONCATENATE((INDEX($T$7:$T$165,SMALL(IF($T$7:$T$165&lt;&gt;"",IF($Q$7:$Q$165&lt;&gt;"",ROW($Q$7:$Q$165)-MIN(ROW($Q$7:$Q$165))+1,""),""),ROW()-ROW(A$167)+1)))," "),"")</f>
        <v>0</v>
      </c>
      <c r="R261">
        <f t="array" ref="R261">IFERROR(CONCATENATE(TEXT(INDEX($Q$7:$Q$165,SMALL(IF($T$7:$T$165&lt;&gt;"",IF($Q$7:$Q$165&lt;&gt;"",ROW($Q$7:$Q$165)-MIN(ROW($Q$7:$Q$165))+1,""),""),ROW()-ROW(A$167)+1)),"##0")," "),"")</f>
        <v>0</v>
      </c>
      <c r="S261">
        <f t="array" ref="S261">IFERROR(CONCATENATE((INDEX($A$7:$A$165,SMALL(IF($T$7:$T$165&lt;&gt;"",IF($Q$7:$Q$165&lt;&gt;"",ROW($Q$7:$Q$165)-MIN(ROW($Q$7:$Q$165))+1,""),""),ROW()-ROW(A$167)+1))),),"")</f>
        <v>0</v>
      </c>
      <c r="W261">
        <f t="array" ref="W261">IFERROR(CONCATENATE((INDEX($Z$7:$Z$165,SMALL(IF($Z$7:$Z$165&lt;&gt;"",IF($W$7:$W$165&lt;&gt;"",ROW($W$7:$W$165)-MIN(ROW($W$7:$W$165))+1,""),""),ROW()-ROW(A$167)+1))),","),"")</f>
        <v>0</v>
      </c>
      <c r="X261">
        <f t="array" ref="X261">IFERROR(CONCATENATE(TEXT(INDEX($W$7:$W$165,SMALL(IF($Z$7:$Z$165&lt;&gt;"",IF($W$7:$W$165&lt;&gt;"",ROW($W$7:$W$165)-MIN(ROW($W$7:$W$165))+1,""),""),ROW()-ROW(A$167)+1)),"##0"),","),"")</f>
        <v>0</v>
      </c>
      <c r="Y261">
        <f t="array" ref="Y261">IFERROR(CONCATENATE((INDEX($A$7:$A$165,SMALL(IF($Z$7:$Z$165&lt;&gt;"",IF($W$7:$W$165&lt;&gt;"",ROW($W$7:$W$165)-MIN(ROW($W$7:$W$165))+1,""),""),ROW()-ROW(A$167)+1))),),"")</f>
        <v>0</v>
      </c>
    </row>
    <row r="262" spans="11:25">
      <c r="K262">
        <f t="array" ref="K262">IFERROR(CONCATENATE(TEXT(INDEX($K$7:$K$165,SMALL(IF($N$7:$N$165&lt;&gt;"",IF($K$7:$K$165&lt;&gt;"",ROW($K$7:$K$165)-MIN(ROW($K$7:$K$165))+1,""),""),ROW()-ROW(A$167)+1)),"##0"),","),"")</f>
        <v>0</v>
      </c>
      <c r="L262">
        <f t="array" ref="L262">IFERROR(CONCATENATE((INDEX($N$7:$N$165,SMALL(IF($N$7:$N$165&lt;&gt;"",IF($K$7:$K$165&lt;&gt;"",ROW($K$7:$K$165)-MIN(ROW($K$7:$K$165))+1,""),""),ROW()-ROW(A$167)+1))),","),"")</f>
        <v>0</v>
      </c>
      <c r="M262">
        <f t="array" ref="M262">IFERROR(CONCATENATE((INDEX($A$7:$A$165,SMALL(IF($N$7:$N$165&lt;&gt;"",IF($K$7:$K$165&lt;&gt;"",ROW($K$7:$K$165)-MIN(ROW($K$7:$K$165))+1,""),""),ROW()-ROW(A$167)+1))),),"")</f>
        <v>0</v>
      </c>
      <c r="Q262">
        <f t="array" ref="Q262">IFERROR(CONCATENATE((INDEX($T$7:$T$165,SMALL(IF($T$7:$T$165&lt;&gt;"",IF($Q$7:$Q$165&lt;&gt;"",ROW($Q$7:$Q$165)-MIN(ROW($Q$7:$Q$165))+1,""),""),ROW()-ROW(A$167)+1)))," "),"")</f>
        <v>0</v>
      </c>
      <c r="R262">
        <f t="array" ref="R262">IFERROR(CONCATENATE(TEXT(INDEX($Q$7:$Q$165,SMALL(IF($T$7:$T$165&lt;&gt;"",IF($Q$7:$Q$165&lt;&gt;"",ROW($Q$7:$Q$165)-MIN(ROW($Q$7:$Q$165))+1,""),""),ROW()-ROW(A$167)+1)),"##0")," "),"")</f>
        <v>0</v>
      </c>
      <c r="S262">
        <f t="array" ref="S262">IFERROR(CONCATENATE((INDEX($A$7:$A$165,SMALL(IF($T$7:$T$165&lt;&gt;"",IF($Q$7:$Q$165&lt;&gt;"",ROW($Q$7:$Q$165)-MIN(ROW($Q$7:$Q$165))+1,""),""),ROW()-ROW(A$167)+1))),),"")</f>
        <v>0</v>
      </c>
      <c r="W262">
        <f t="array" ref="W262">IFERROR(CONCATENATE((INDEX($Z$7:$Z$165,SMALL(IF($Z$7:$Z$165&lt;&gt;"",IF($W$7:$W$165&lt;&gt;"",ROW($W$7:$W$165)-MIN(ROW($W$7:$W$165))+1,""),""),ROW()-ROW(A$167)+1))),","),"")</f>
        <v>0</v>
      </c>
      <c r="X262">
        <f t="array" ref="X262">IFERROR(CONCATENATE(TEXT(INDEX($W$7:$W$165,SMALL(IF($Z$7:$Z$165&lt;&gt;"",IF($W$7:$W$165&lt;&gt;"",ROW($W$7:$W$165)-MIN(ROW($W$7:$W$165))+1,""),""),ROW()-ROW(A$167)+1)),"##0"),","),"")</f>
        <v>0</v>
      </c>
      <c r="Y262">
        <f t="array" ref="Y262">IFERROR(CONCATENATE((INDEX($A$7:$A$165,SMALL(IF($Z$7:$Z$165&lt;&gt;"",IF($W$7:$W$165&lt;&gt;"",ROW($W$7:$W$165)-MIN(ROW($W$7:$W$165))+1,""),""),ROW()-ROW(A$167)+1))),),"")</f>
        <v>0</v>
      </c>
    </row>
    <row r="263" spans="11:25">
      <c r="K263">
        <f t="array" ref="K263">IFERROR(CONCATENATE(TEXT(INDEX($K$7:$K$165,SMALL(IF($N$7:$N$165&lt;&gt;"",IF($K$7:$K$165&lt;&gt;"",ROW($K$7:$K$165)-MIN(ROW($K$7:$K$165))+1,""),""),ROW()-ROW(A$167)+1)),"##0"),","),"")</f>
        <v>0</v>
      </c>
      <c r="L263">
        <f t="array" ref="L263">IFERROR(CONCATENATE((INDEX($N$7:$N$165,SMALL(IF($N$7:$N$165&lt;&gt;"",IF($K$7:$K$165&lt;&gt;"",ROW($K$7:$K$165)-MIN(ROW($K$7:$K$165))+1,""),""),ROW()-ROW(A$167)+1))),","),"")</f>
        <v>0</v>
      </c>
      <c r="M263">
        <f t="array" ref="M263">IFERROR(CONCATENATE((INDEX($A$7:$A$165,SMALL(IF($N$7:$N$165&lt;&gt;"",IF($K$7:$K$165&lt;&gt;"",ROW($K$7:$K$165)-MIN(ROW($K$7:$K$165))+1,""),""),ROW()-ROW(A$167)+1))),),"")</f>
        <v>0</v>
      </c>
      <c r="Q263">
        <f t="array" ref="Q263">IFERROR(CONCATENATE((INDEX($T$7:$T$165,SMALL(IF($T$7:$T$165&lt;&gt;"",IF($Q$7:$Q$165&lt;&gt;"",ROW($Q$7:$Q$165)-MIN(ROW($Q$7:$Q$165))+1,""),""),ROW()-ROW(A$167)+1)))," "),"")</f>
        <v>0</v>
      </c>
      <c r="R263">
        <f t="array" ref="R263">IFERROR(CONCATENATE(TEXT(INDEX($Q$7:$Q$165,SMALL(IF($T$7:$T$165&lt;&gt;"",IF($Q$7:$Q$165&lt;&gt;"",ROW($Q$7:$Q$165)-MIN(ROW($Q$7:$Q$165))+1,""),""),ROW()-ROW(A$167)+1)),"##0")," "),"")</f>
        <v>0</v>
      </c>
      <c r="S263">
        <f t="array" ref="S263">IFERROR(CONCATENATE((INDEX($A$7:$A$165,SMALL(IF($T$7:$T$165&lt;&gt;"",IF($Q$7:$Q$165&lt;&gt;"",ROW($Q$7:$Q$165)-MIN(ROW($Q$7:$Q$165))+1,""),""),ROW()-ROW(A$167)+1))),),"")</f>
        <v>0</v>
      </c>
      <c r="W263">
        <f t="array" ref="W263">IFERROR(CONCATENATE((INDEX($Z$7:$Z$165,SMALL(IF($Z$7:$Z$165&lt;&gt;"",IF($W$7:$W$165&lt;&gt;"",ROW($W$7:$W$165)-MIN(ROW($W$7:$W$165))+1,""),""),ROW()-ROW(A$167)+1))),","),"")</f>
        <v>0</v>
      </c>
      <c r="X263">
        <f t="array" ref="X263">IFERROR(CONCATENATE(TEXT(INDEX($W$7:$W$165,SMALL(IF($Z$7:$Z$165&lt;&gt;"",IF($W$7:$W$165&lt;&gt;"",ROW($W$7:$W$165)-MIN(ROW($W$7:$W$165))+1,""),""),ROW()-ROW(A$167)+1)),"##0"),","),"")</f>
        <v>0</v>
      </c>
      <c r="Y263">
        <f t="array" ref="Y263">IFERROR(CONCATENATE((INDEX($A$7:$A$165,SMALL(IF($Z$7:$Z$165&lt;&gt;"",IF($W$7:$W$165&lt;&gt;"",ROW($W$7:$W$165)-MIN(ROW($W$7:$W$165))+1,""),""),ROW()-ROW(A$167)+1))),),"")</f>
        <v>0</v>
      </c>
    </row>
    <row r="264" spans="11:25">
      <c r="K264">
        <f t="array" ref="K264">IFERROR(CONCATENATE(TEXT(INDEX($K$7:$K$165,SMALL(IF($N$7:$N$165&lt;&gt;"",IF($K$7:$K$165&lt;&gt;"",ROW($K$7:$K$165)-MIN(ROW($K$7:$K$165))+1,""),""),ROW()-ROW(A$167)+1)),"##0"),","),"")</f>
        <v>0</v>
      </c>
      <c r="L264">
        <f t="array" ref="L264">IFERROR(CONCATENATE((INDEX($N$7:$N$165,SMALL(IF($N$7:$N$165&lt;&gt;"",IF($K$7:$K$165&lt;&gt;"",ROW($K$7:$K$165)-MIN(ROW($K$7:$K$165))+1,""),""),ROW()-ROW(A$167)+1))),","),"")</f>
        <v>0</v>
      </c>
      <c r="M264">
        <f t="array" ref="M264">IFERROR(CONCATENATE((INDEX($A$7:$A$165,SMALL(IF($N$7:$N$165&lt;&gt;"",IF($K$7:$K$165&lt;&gt;"",ROW($K$7:$K$165)-MIN(ROW($K$7:$K$165))+1,""),""),ROW()-ROW(A$167)+1))),),"")</f>
        <v>0</v>
      </c>
      <c r="Q264">
        <f t="array" ref="Q264">IFERROR(CONCATENATE((INDEX($T$7:$T$165,SMALL(IF($T$7:$T$165&lt;&gt;"",IF($Q$7:$Q$165&lt;&gt;"",ROW($Q$7:$Q$165)-MIN(ROW($Q$7:$Q$165))+1,""),""),ROW()-ROW(A$167)+1)))," "),"")</f>
        <v>0</v>
      </c>
      <c r="R264">
        <f t="array" ref="R264">IFERROR(CONCATENATE(TEXT(INDEX($Q$7:$Q$165,SMALL(IF($T$7:$T$165&lt;&gt;"",IF($Q$7:$Q$165&lt;&gt;"",ROW($Q$7:$Q$165)-MIN(ROW($Q$7:$Q$165))+1,""),""),ROW()-ROW(A$167)+1)),"##0")," "),"")</f>
        <v>0</v>
      </c>
      <c r="S264">
        <f t="array" ref="S264">IFERROR(CONCATENATE((INDEX($A$7:$A$165,SMALL(IF($T$7:$T$165&lt;&gt;"",IF($Q$7:$Q$165&lt;&gt;"",ROW($Q$7:$Q$165)-MIN(ROW($Q$7:$Q$165))+1,""),""),ROW()-ROW(A$167)+1))),),"")</f>
        <v>0</v>
      </c>
      <c r="W264">
        <f t="array" ref="W264">IFERROR(CONCATENATE((INDEX($Z$7:$Z$165,SMALL(IF($Z$7:$Z$165&lt;&gt;"",IF($W$7:$W$165&lt;&gt;"",ROW($W$7:$W$165)-MIN(ROW($W$7:$W$165))+1,""),""),ROW()-ROW(A$167)+1))),","),"")</f>
        <v>0</v>
      </c>
      <c r="X264">
        <f t="array" ref="X264">IFERROR(CONCATENATE(TEXT(INDEX($W$7:$W$165,SMALL(IF($Z$7:$Z$165&lt;&gt;"",IF($W$7:$W$165&lt;&gt;"",ROW($W$7:$W$165)-MIN(ROW($W$7:$W$165))+1,""),""),ROW()-ROW(A$167)+1)),"##0"),","),"")</f>
        <v>0</v>
      </c>
      <c r="Y264">
        <f t="array" ref="Y264">IFERROR(CONCATENATE((INDEX($A$7:$A$165,SMALL(IF($Z$7:$Z$165&lt;&gt;"",IF($W$7:$W$165&lt;&gt;"",ROW($W$7:$W$165)-MIN(ROW($W$7:$W$165))+1,""),""),ROW()-ROW(A$167)+1))),),"")</f>
        <v>0</v>
      </c>
    </row>
    <row r="265" spans="11:25">
      <c r="K265">
        <f t="array" ref="K265">IFERROR(CONCATENATE(TEXT(INDEX($K$7:$K$165,SMALL(IF($N$7:$N$165&lt;&gt;"",IF($K$7:$K$165&lt;&gt;"",ROW($K$7:$K$165)-MIN(ROW($K$7:$K$165))+1,""),""),ROW()-ROW(A$167)+1)),"##0"),","),"")</f>
        <v>0</v>
      </c>
      <c r="L265">
        <f t="array" ref="L265">IFERROR(CONCATENATE((INDEX($N$7:$N$165,SMALL(IF($N$7:$N$165&lt;&gt;"",IF($K$7:$K$165&lt;&gt;"",ROW($K$7:$K$165)-MIN(ROW($K$7:$K$165))+1,""),""),ROW()-ROW(A$167)+1))),","),"")</f>
        <v>0</v>
      </c>
      <c r="M265">
        <f t="array" ref="M265">IFERROR(CONCATENATE((INDEX($A$7:$A$165,SMALL(IF($N$7:$N$165&lt;&gt;"",IF($K$7:$K$165&lt;&gt;"",ROW($K$7:$K$165)-MIN(ROW($K$7:$K$165))+1,""),""),ROW()-ROW(A$167)+1))),),"")</f>
        <v>0</v>
      </c>
      <c r="Q265">
        <f t="array" ref="Q265">IFERROR(CONCATENATE((INDEX($T$7:$T$165,SMALL(IF($T$7:$T$165&lt;&gt;"",IF($Q$7:$Q$165&lt;&gt;"",ROW($Q$7:$Q$165)-MIN(ROW($Q$7:$Q$165))+1,""),""),ROW()-ROW(A$167)+1)))," "),"")</f>
        <v>0</v>
      </c>
      <c r="R265">
        <f t="array" ref="R265">IFERROR(CONCATENATE(TEXT(INDEX($Q$7:$Q$165,SMALL(IF($T$7:$T$165&lt;&gt;"",IF($Q$7:$Q$165&lt;&gt;"",ROW($Q$7:$Q$165)-MIN(ROW($Q$7:$Q$165))+1,""),""),ROW()-ROW(A$167)+1)),"##0")," "),"")</f>
        <v>0</v>
      </c>
      <c r="S265">
        <f t="array" ref="S265">IFERROR(CONCATENATE((INDEX($A$7:$A$165,SMALL(IF($T$7:$T$165&lt;&gt;"",IF($Q$7:$Q$165&lt;&gt;"",ROW($Q$7:$Q$165)-MIN(ROW($Q$7:$Q$165))+1,""),""),ROW()-ROW(A$167)+1))),),"")</f>
        <v>0</v>
      </c>
      <c r="W265">
        <f t="array" ref="W265">IFERROR(CONCATENATE((INDEX($Z$7:$Z$165,SMALL(IF($Z$7:$Z$165&lt;&gt;"",IF($W$7:$W$165&lt;&gt;"",ROW($W$7:$W$165)-MIN(ROW($W$7:$W$165))+1,""),""),ROW()-ROW(A$167)+1))),","),"")</f>
        <v>0</v>
      </c>
      <c r="X265">
        <f t="array" ref="X265">IFERROR(CONCATENATE(TEXT(INDEX($W$7:$W$165,SMALL(IF($Z$7:$Z$165&lt;&gt;"",IF($W$7:$W$165&lt;&gt;"",ROW($W$7:$W$165)-MIN(ROW($W$7:$W$165))+1,""),""),ROW()-ROW(A$167)+1)),"##0"),","),"")</f>
        <v>0</v>
      </c>
      <c r="Y265">
        <f t="array" ref="Y265">IFERROR(CONCATENATE((INDEX($A$7:$A$165,SMALL(IF($Z$7:$Z$165&lt;&gt;"",IF($W$7:$W$165&lt;&gt;"",ROW($W$7:$W$165)-MIN(ROW($W$7:$W$165))+1,""),""),ROW()-ROW(A$167)+1))),),"")</f>
        <v>0</v>
      </c>
    </row>
    <row r="266" spans="11:25">
      <c r="K266">
        <f t="array" ref="K266">IFERROR(CONCATENATE(TEXT(INDEX($K$7:$K$165,SMALL(IF($N$7:$N$165&lt;&gt;"",IF($K$7:$K$165&lt;&gt;"",ROW($K$7:$K$165)-MIN(ROW($K$7:$K$165))+1,""),""),ROW()-ROW(A$167)+1)),"##0"),","),"")</f>
        <v>0</v>
      </c>
      <c r="L266">
        <f t="array" ref="L266">IFERROR(CONCATENATE((INDEX($N$7:$N$165,SMALL(IF($N$7:$N$165&lt;&gt;"",IF($K$7:$K$165&lt;&gt;"",ROW($K$7:$K$165)-MIN(ROW($K$7:$K$165))+1,""),""),ROW()-ROW(A$167)+1))),","),"")</f>
        <v>0</v>
      </c>
      <c r="M266">
        <f t="array" ref="M266">IFERROR(CONCATENATE((INDEX($A$7:$A$165,SMALL(IF($N$7:$N$165&lt;&gt;"",IF($K$7:$K$165&lt;&gt;"",ROW($K$7:$K$165)-MIN(ROW($K$7:$K$165))+1,""),""),ROW()-ROW(A$167)+1))),),"")</f>
        <v>0</v>
      </c>
      <c r="Q266">
        <f t="array" ref="Q266">IFERROR(CONCATENATE((INDEX($T$7:$T$165,SMALL(IF($T$7:$T$165&lt;&gt;"",IF($Q$7:$Q$165&lt;&gt;"",ROW($Q$7:$Q$165)-MIN(ROW($Q$7:$Q$165))+1,""),""),ROW()-ROW(A$167)+1)))," "),"")</f>
        <v>0</v>
      </c>
      <c r="R266">
        <f t="array" ref="R266">IFERROR(CONCATENATE(TEXT(INDEX($Q$7:$Q$165,SMALL(IF($T$7:$T$165&lt;&gt;"",IF($Q$7:$Q$165&lt;&gt;"",ROW($Q$7:$Q$165)-MIN(ROW($Q$7:$Q$165))+1,""),""),ROW()-ROW(A$167)+1)),"##0")," "),"")</f>
        <v>0</v>
      </c>
      <c r="S266">
        <f t="array" ref="S266">IFERROR(CONCATENATE((INDEX($A$7:$A$165,SMALL(IF($T$7:$T$165&lt;&gt;"",IF($Q$7:$Q$165&lt;&gt;"",ROW($Q$7:$Q$165)-MIN(ROW($Q$7:$Q$165))+1,""),""),ROW()-ROW(A$167)+1))),),"")</f>
        <v>0</v>
      </c>
      <c r="W266">
        <f t="array" ref="W266">IFERROR(CONCATENATE((INDEX($Z$7:$Z$165,SMALL(IF($Z$7:$Z$165&lt;&gt;"",IF($W$7:$W$165&lt;&gt;"",ROW($W$7:$W$165)-MIN(ROW($W$7:$W$165))+1,""),""),ROW()-ROW(A$167)+1))),","),"")</f>
        <v>0</v>
      </c>
      <c r="X266">
        <f t="array" ref="X266">IFERROR(CONCATENATE(TEXT(INDEX($W$7:$W$165,SMALL(IF($Z$7:$Z$165&lt;&gt;"",IF($W$7:$W$165&lt;&gt;"",ROW($W$7:$W$165)-MIN(ROW($W$7:$W$165))+1,""),""),ROW()-ROW(A$167)+1)),"##0"),","),"")</f>
        <v>0</v>
      </c>
      <c r="Y266">
        <f t="array" ref="Y266">IFERROR(CONCATENATE((INDEX($A$7:$A$165,SMALL(IF($Z$7:$Z$165&lt;&gt;"",IF($W$7:$W$165&lt;&gt;"",ROW($W$7:$W$165)-MIN(ROW($W$7:$W$165))+1,""),""),ROW()-ROW(A$167)+1))),),"")</f>
        <v>0</v>
      </c>
    </row>
    <row r="267" spans="11:25">
      <c r="K267">
        <f t="array" ref="K267">IFERROR(CONCATENATE(TEXT(INDEX($K$7:$K$165,SMALL(IF($N$7:$N$165&lt;&gt;"",IF($K$7:$K$165&lt;&gt;"",ROW($K$7:$K$165)-MIN(ROW($K$7:$K$165))+1,""),""),ROW()-ROW(A$167)+1)),"##0"),","),"")</f>
        <v>0</v>
      </c>
      <c r="L267">
        <f t="array" ref="L267">IFERROR(CONCATENATE((INDEX($N$7:$N$165,SMALL(IF($N$7:$N$165&lt;&gt;"",IF($K$7:$K$165&lt;&gt;"",ROW($K$7:$K$165)-MIN(ROW($K$7:$K$165))+1,""),""),ROW()-ROW(A$167)+1))),","),"")</f>
        <v>0</v>
      </c>
      <c r="M267">
        <f t="array" ref="M267">IFERROR(CONCATENATE((INDEX($A$7:$A$165,SMALL(IF($N$7:$N$165&lt;&gt;"",IF($K$7:$K$165&lt;&gt;"",ROW($K$7:$K$165)-MIN(ROW($K$7:$K$165))+1,""),""),ROW()-ROW(A$167)+1))),),"")</f>
        <v>0</v>
      </c>
      <c r="Q267">
        <f t="array" ref="Q267">IFERROR(CONCATENATE((INDEX($T$7:$T$165,SMALL(IF($T$7:$T$165&lt;&gt;"",IF($Q$7:$Q$165&lt;&gt;"",ROW($Q$7:$Q$165)-MIN(ROW($Q$7:$Q$165))+1,""),""),ROW()-ROW(A$167)+1)))," "),"")</f>
        <v>0</v>
      </c>
      <c r="R267">
        <f t="array" ref="R267">IFERROR(CONCATENATE(TEXT(INDEX($Q$7:$Q$165,SMALL(IF($T$7:$T$165&lt;&gt;"",IF($Q$7:$Q$165&lt;&gt;"",ROW($Q$7:$Q$165)-MIN(ROW($Q$7:$Q$165))+1,""),""),ROW()-ROW(A$167)+1)),"##0")," "),"")</f>
        <v>0</v>
      </c>
      <c r="S267">
        <f t="array" ref="S267">IFERROR(CONCATENATE((INDEX($A$7:$A$165,SMALL(IF($T$7:$T$165&lt;&gt;"",IF($Q$7:$Q$165&lt;&gt;"",ROW($Q$7:$Q$165)-MIN(ROW($Q$7:$Q$165))+1,""),""),ROW()-ROW(A$167)+1))),),"")</f>
        <v>0</v>
      </c>
      <c r="W267">
        <f t="array" ref="W267">IFERROR(CONCATENATE((INDEX($Z$7:$Z$165,SMALL(IF($Z$7:$Z$165&lt;&gt;"",IF($W$7:$W$165&lt;&gt;"",ROW($W$7:$W$165)-MIN(ROW($W$7:$W$165))+1,""),""),ROW()-ROW(A$167)+1))),","),"")</f>
        <v>0</v>
      </c>
      <c r="X267">
        <f t="array" ref="X267">IFERROR(CONCATENATE(TEXT(INDEX($W$7:$W$165,SMALL(IF($Z$7:$Z$165&lt;&gt;"",IF($W$7:$W$165&lt;&gt;"",ROW($W$7:$W$165)-MIN(ROW($W$7:$W$165))+1,""),""),ROW()-ROW(A$167)+1)),"##0"),","),"")</f>
        <v>0</v>
      </c>
      <c r="Y267">
        <f t="array" ref="Y267">IFERROR(CONCATENATE((INDEX($A$7:$A$165,SMALL(IF($Z$7:$Z$165&lt;&gt;"",IF($W$7:$W$165&lt;&gt;"",ROW($W$7:$W$165)-MIN(ROW($W$7:$W$165))+1,""),""),ROW()-ROW(A$167)+1))),),"")</f>
        <v>0</v>
      </c>
    </row>
    <row r="268" spans="11:25">
      <c r="K268">
        <f t="array" ref="K268">IFERROR(CONCATENATE(TEXT(INDEX($K$7:$K$165,SMALL(IF($N$7:$N$165&lt;&gt;"",IF($K$7:$K$165&lt;&gt;"",ROW($K$7:$K$165)-MIN(ROW($K$7:$K$165))+1,""),""),ROW()-ROW(A$167)+1)),"##0"),","),"")</f>
        <v>0</v>
      </c>
      <c r="L268">
        <f t="array" ref="L268">IFERROR(CONCATENATE((INDEX($N$7:$N$165,SMALL(IF($N$7:$N$165&lt;&gt;"",IF($K$7:$K$165&lt;&gt;"",ROW($K$7:$K$165)-MIN(ROW($K$7:$K$165))+1,""),""),ROW()-ROW(A$167)+1))),","),"")</f>
        <v>0</v>
      </c>
      <c r="M268">
        <f t="array" ref="M268">IFERROR(CONCATENATE((INDEX($A$7:$A$165,SMALL(IF($N$7:$N$165&lt;&gt;"",IF($K$7:$K$165&lt;&gt;"",ROW($K$7:$K$165)-MIN(ROW($K$7:$K$165))+1,""),""),ROW()-ROW(A$167)+1))),),"")</f>
        <v>0</v>
      </c>
      <c r="Q268">
        <f t="array" ref="Q268">IFERROR(CONCATENATE((INDEX($T$7:$T$165,SMALL(IF($T$7:$T$165&lt;&gt;"",IF($Q$7:$Q$165&lt;&gt;"",ROW($Q$7:$Q$165)-MIN(ROW($Q$7:$Q$165))+1,""),""),ROW()-ROW(A$167)+1)))," "),"")</f>
        <v>0</v>
      </c>
      <c r="R268">
        <f t="array" ref="R268">IFERROR(CONCATENATE(TEXT(INDEX($Q$7:$Q$165,SMALL(IF($T$7:$T$165&lt;&gt;"",IF($Q$7:$Q$165&lt;&gt;"",ROW($Q$7:$Q$165)-MIN(ROW($Q$7:$Q$165))+1,""),""),ROW()-ROW(A$167)+1)),"##0")," "),"")</f>
        <v>0</v>
      </c>
      <c r="S268">
        <f t="array" ref="S268">IFERROR(CONCATENATE((INDEX($A$7:$A$165,SMALL(IF($T$7:$T$165&lt;&gt;"",IF($Q$7:$Q$165&lt;&gt;"",ROW($Q$7:$Q$165)-MIN(ROW($Q$7:$Q$165))+1,""),""),ROW()-ROW(A$167)+1))),),"")</f>
        <v>0</v>
      </c>
      <c r="W268">
        <f t="array" ref="W268">IFERROR(CONCATENATE((INDEX($Z$7:$Z$165,SMALL(IF($Z$7:$Z$165&lt;&gt;"",IF($W$7:$W$165&lt;&gt;"",ROW($W$7:$W$165)-MIN(ROW($W$7:$W$165))+1,""),""),ROW()-ROW(A$167)+1))),","),"")</f>
        <v>0</v>
      </c>
      <c r="X268">
        <f t="array" ref="X268">IFERROR(CONCATENATE(TEXT(INDEX($W$7:$W$165,SMALL(IF($Z$7:$Z$165&lt;&gt;"",IF($W$7:$W$165&lt;&gt;"",ROW($W$7:$W$165)-MIN(ROW($W$7:$W$165))+1,""),""),ROW()-ROW(A$167)+1)),"##0"),","),"")</f>
        <v>0</v>
      </c>
      <c r="Y268">
        <f t="array" ref="Y268">IFERROR(CONCATENATE((INDEX($A$7:$A$165,SMALL(IF($Z$7:$Z$165&lt;&gt;"",IF($W$7:$W$165&lt;&gt;"",ROW($W$7:$W$165)-MIN(ROW($W$7:$W$165))+1,""),""),ROW()-ROW(A$167)+1))),),"")</f>
        <v>0</v>
      </c>
    </row>
    <row r="269" spans="11:25">
      <c r="K269">
        <f t="array" ref="K269">IFERROR(CONCATENATE(TEXT(INDEX($K$7:$K$165,SMALL(IF($N$7:$N$165&lt;&gt;"",IF($K$7:$K$165&lt;&gt;"",ROW($K$7:$K$165)-MIN(ROW($K$7:$K$165))+1,""),""),ROW()-ROW(A$167)+1)),"##0"),","),"")</f>
        <v>0</v>
      </c>
      <c r="L269">
        <f t="array" ref="L269">IFERROR(CONCATENATE((INDEX($N$7:$N$165,SMALL(IF($N$7:$N$165&lt;&gt;"",IF($K$7:$K$165&lt;&gt;"",ROW($K$7:$K$165)-MIN(ROW($K$7:$K$165))+1,""),""),ROW()-ROW(A$167)+1))),","),"")</f>
        <v>0</v>
      </c>
      <c r="M269">
        <f t="array" ref="M269">IFERROR(CONCATENATE((INDEX($A$7:$A$165,SMALL(IF($N$7:$N$165&lt;&gt;"",IF($K$7:$K$165&lt;&gt;"",ROW($K$7:$K$165)-MIN(ROW($K$7:$K$165))+1,""),""),ROW()-ROW(A$167)+1))),),"")</f>
        <v>0</v>
      </c>
      <c r="Q269">
        <f t="array" ref="Q269">IFERROR(CONCATENATE((INDEX($T$7:$T$165,SMALL(IF($T$7:$T$165&lt;&gt;"",IF($Q$7:$Q$165&lt;&gt;"",ROW($Q$7:$Q$165)-MIN(ROW($Q$7:$Q$165))+1,""),""),ROW()-ROW(A$167)+1)))," "),"")</f>
        <v>0</v>
      </c>
      <c r="R269">
        <f t="array" ref="R269">IFERROR(CONCATENATE(TEXT(INDEX($Q$7:$Q$165,SMALL(IF($T$7:$T$165&lt;&gt;"",IF($Q$7:$Q$165&lt;&gt;"",ROW($Q$7:$Q$165)-MIN(ROW($Q$7:$Q$165))+1,""),""),ROW()-ROW(A$167)+1)),"##0")," "),"")</f>
        <v>0</v>
      </c>
      <c r="S269">
        <f t="array" ref="S269">IFERROR(CONCATENATE((INDEX($A$7:$A$165,SMALL(IF($T$7:$T$165&lt;&gt;"",IF($Q$7:$Q$165&lt;&gt;"",ROW($Q$7:$Q$165)-MIN(ROW($Q$7:$Q$165))+1,""),""),ROW()-ROW(A$167)+1))),),"")</f>
        <v>0</v>
      </c>
      <c r="W269">
        <f t="array" ref="W269">IFERROR(CONCATENATE((INDEX($Z$7:$Z$165,SMALL(IF($Z$7:$Z$165&lt;&gt;"",IF($W$7:$W$165&lt;&gt;"",ROW($W$7:$W$165)-MIN(ROW($W$7:$W$165))+1,""),""),ROW()-ROW(A$167)+1))),","),"")</f>
        <v>0</v>
      </c>
      <c r="X269">
        <f t="array" ref="X269">IFERROR(CONCATENATE(TEXT(INDEX($W$7:$W$165,SMALL(IF($Z$7:$Z$165&lt;&gt;"",IF($W$7:$W$165&lt;&gt;"",ROW($W$7:$W$165)-MIN(ROW($W$7:$W$165))+1,""),""),ROW()-ROW(A$167)+1)),"##0"),","),"")</f>
        <v>0</v>
      </c>
      <c r="Y269">
        <f t="array" ref="Y269">IFERROR(CONCATENATE((INDEX($A$7:$A$165,SMALL(IF($Z$7:$Z$165&lt;&gt;"",IF($W$7:$W$165&lt;&gt;"",ROW($W$7:$W$165)-MIN(ROW($W$7:$W$165))+1,""),""),ROW()-ROW(A$167)+1))),),"")</f>
        <v>0</v>
      </c>
    </row>
    <row r="270" spans="11:25">
      <c r="K270">
        <f t="array" ref="K270">IFERROR(CONCATENATE(TEXT(INDEX($K$7:$K$165,SMALL(IF($N$7:$N$165&lt;&gt;"",IF($K$7:$K$165&lt;&gt;"",ROW($K$7:$K$165)-MIN(ROW($K$7:$K$165))+1,""),""),ROW()-ROW(A$167)+1)),"##0"),","),"")</f>
        <v>0</v>
      </c>
      <c r="L270">
        <f t="array" ref="L270">IFERROR(CONCATENATE((INDEX($N$7:$N$165,SMALL(IF($N$7:$N$165&lt;&gt;"",IF($K$7:$K$165&lt;&gt;"",ROW($K$7:$K$165)-MIN(ROW($K$7:$K$165))+1,""),""),ROW()-ROW(A$167)+1))),","),"")</f>
        <v>0</v>
      </c>
      <c r="M270">
        <f t="array" ref="M270">IFERROR(CONCATENATE((INDEX($A$7:$A$165,SMALL(IF($N$7:$N$165&lt;&gt;"",IF($K$7:$K$165&lt;&gt;"",ROW($K$7:$K$165)-MIN(ROW($K$7:$K$165))+1,""),""),ROW()-ROW(A$167)+1))),),"")</f>
        <v>0</v>
      </c>
      <c r="Q270">
        <f t="array" ref="Q270">IFERROR(CONCATENATE((INDEX($T$7:$T$165,SMALL(IF($T$7:$T$165&lt;&gt;"",IF($Q$7:$Q$165&lt;&gt;"",ROW($Q$7:$Q$165)-MIN(ROW($Q$7:$Q$165))+1,""),""),ROW()-ROW(A$167)+1)))," "),"")</f>
        <v>0</v>
      </c>
      <c r="R270">
        <f t="array" ref="R270">IFERROR(CONCATENATE(TEXT(INDEX($Q$7:$Q$165,SMALL(IF($T$7:$T$165&lt;&gt;"",IF($Q$7:$Q$165&lt;&gt;"",ROW($Q$7:$Q$165)-MIN(ROW($Q$7:$Q$165))+1,""),""),ROW()-ROW(A$167)+1)),"##0")," "),"")</f>
        <v>0</v>
      </c>
      <c r="S270">
        <f t="array" ref="S270">IFERROR(CONCATENATE((INDEX($A$7:$A$165,SMALL(IF($T$7:$T$165&lt;&gt;"",IF($Q$7:$Q$165&lt;&gt;"",ROW($Q$7:$Q$165)-MIN(ROW($Q$7:$Q$165))+1,""),""),ROW()-ROW(A$167)+1))),),"")</f>
        <v>0</v>
      </c>
      <c r="W270">
        <f t="array" ref="W270">IFERROR(CONCATENATE((INDEX($Z$7:$Z$165,SMALL(IF($Z$7:$Z$165&lt;&gt;"",IF($W$7:$W$165&lt;&gt;"",ROW($W$7:$W$165)-MIN(ROW($W$7:$W$165))+1,""),""),ROW()-ROW(A$167)+1))),","),"")</f>
        <v>0</v>
      </c>
      <c r="X270">
        <f t="array" ref="X270">IFERROR(CONCATENATE(TEXT(INDEX($W$7:$W$165,SMALL(IF($Z$7:$Z$165&lt;&gt;"",IF($W$7:$W$165&lt;&gt;"",ROW($W$7:$W$165)-MIN(ROW($W$7:$W$165))+1,""),""),ROW()-ROW(A$167)+1)),"##0"),","),"")</f>
        <v>0</v>
      </c>
      <c r="Y270">
        <f t="array" ref="Y270">IFERROR(CONCATENATE((INDEX($A$7:$A$165,SMALL(IF($Z$7:$Z$165&lt;&gt;"",IF($W$7:$W$165&lt;&gt;"",ROW($W$7:$W$165)-MIN(ROW($W$7:$W$165))+1,""),""),ROW()-ROW(A$167)+1))),),"")</f>
        <v>0</v>
      </c>
    </row>
    <row r="271" spans="11:25">
      <c r="K271">
        <f t="array" ref="K271">IFERROR(CONCATENATE(TEXT(INDEX($K$7:$K$165,SMALL(IF($N$7:$N$165&lt;&gt;"",IF($K$7:$K$165&lt;&gt;"",ROW($K$7:$K$165)-MIN(ROW($K$7:$K$165))+1,""),""),ROW()-ROW(A$167)+1)),"##0"),","),"")</f>
        <v>0</v>
      </c>
      <c r="L271">
        <f t="array" ref="L271">IFERROR(CONCATENATE((INDEX($N$7:$N$165,SMALL(IF($N$7:$N$165&lt;&gt;"",IF($K$7:$K$165&lt;&gt;"",ROW($K$7:$K$165)-MIN(ROW($K$7:$K$165))+1,""),""),ROW()-ROW(A$167)+1))),","),"")</f>
        <v>0</v>
      </c>
      <c r="M271">
        <f t="array" ref="M271">IFERROR(CONCATENATE((INDEX($A$7:$A$165,SMALL(IF($N$7:$N$165&lt;&gt;"",IF($K$7:$K$165&lt;&gt;"",ROW($K$7:$K$165)-MIN(ROW($K$7:$K$165))+1,""),""),ROW()-ROW(A$167)+1))),),"")</f>
        <v>0</v>
      </c>
      <c r="Q271">
        <f t="array" ref="Q271">IFERROR(CONCATENATE((INDEX($T$7:$T$165,SMALL(IF($T$7:$T$165&lt;&gt;"",IF($Q$7:$Q$165&lt;&gt;"",ROW($Q$7:$Q$165)-MIN(ROW($Q$7:$Q$165))+1,""),""),ROW()-ROW(A$167)+1)))," "),"")</f>
        <v>0</v>
      </c>
      <c r="R271">
        <f t="array" ref="R271">IFERROR(CONCATENATE(TEXT(INDEX($Q$7:$Q$165,SMALL(IF($T$7:$T$165&lt;&gt;"",IF($Q$7:$Q$165&lt;&gt;"",ROW($Q$7:$Q$165)-MIN(ROW($Q$7:$Q$165))+1,""),""),ROW()-ROW(A$167)+1)),"##0")," "),"")</f>
        <v>0</v>
      </c>
      <c r="S271">
        <f t="array" ref="S271">IFERROR(CONCATENATE((INDEX($A$7:$A$165,SMALL(IF($T$7:$T$165&lt;&gt;"",IF($Q$7:$Q$165&lt;&gt;"",ROW($Q$7:$Q$165)-MIN(ROW($Q$7:$Q$165))+1,""),""),ROW()-ROW(A$167)+1))),),"")</f>
        <v>0</v>
      </c>
      <c r="W271">
        <f t="array" ref="W271">IFERROR(CONCATENATE((INDEX($Z$7:$Z$165,SMALL(IF($Z$7:$Z$165&lt;&gt;"",IF($W$7:$W$165&lt;&gt;"",ROW($W$7:$W$165)-MIN(ROW($W$7:$W$165))+1,""),""),ROW()-ROW(A$167)+1))),","),"")</f>
        <v>0</v>
      </c>
      <c r="X271">
        <f t="array" ref="X271">IFERROR(CONCATENATE(TEXT(INDEX($W$7:$W$165,SMALL(IF($Z$7:$Z$165&lt;&gt;"",IF($W$7:$W$165&lt;&gt;"",ROW($W$7:$W$165)-MIN(ROW($W$7:$W$165))+1,""),""),ROW()-ROW(A$167)+1)),"##0"),","),"")</f>
        <v>0</v>
      </c>
      <c r="Y271">
        <f t="array" ref="Y271">IFERROR(CONCATENATE((INDEX($A$7:$A$165,SMALL(IF($Z$7:$Z$165&lt;&gt;"",IF($W$7:$W$165&lt;&gt;"",ROW($W$7:$W$165)-MIN(ROW($W$7:$W$165))+1,""),""),ROW()-ROW(A$167)+1))),),"")</f>
        <v>0</v>
      </c>
    </row>
    <row r="272" spans="11:25">
      <c r="K272">
        <f t="array" ref="K272">IFERROR(CONCATENATE(TEXT(INDEX($K$7:$K$165,SMALL(IF($N$7:$N$165&lt;&gt;"",IF($K$7:$K$165&lt;&gt;"",ROW($K$7:$K$165)-MIN(ROW($K$7:$K$165))+1,""),""),ROW()-ROW(A$167)+1)),"##0"),","),"")</f>
        <v>0</v>
      </c>
      <c r="L272">
        <f t="array" ref="L272">IFERROR(CONCATENATE((INDEX($N$7:$N$165,SMALL(IF($N$7:$N$165&lt;&gt;"",IF($K$7:$K$165&lt;&gt;"",ROW($K$7:$K$165)-MIN(ROW($K$7:$K$165))+1,""),""),ROW()-ROW(A$167)+1))),","),"")</f>
        <v>0</v>
      </c>
      <c r="M272">
        <f t="array" ref="M272">IFERROR(CONCATENATE((INDEX($A$7:$A$165,SMALL(IF($N$7:$N$165&lt;&gt;"",IF($K$7:$K$165&lt;&gt;"",ROW($K$7:$K$165)-MIN(ROW($K$7:$K$165))+1,""),""),ROW()-ROW(A$167)+1))),),"")</f>
        <v>0</v>
      </c>
      <c r="Q272">
        <f t="array" ref="Q272">IFERROR(CONCATENATE((INDEX($T$7:$T$165,SMALL(IF($T$7:$T$165&lt;&gt;"",IF($Q$7:$Q$165&lt;&gt;"",ROW($Q$7:$Q$165)-MIN(ROW($Q$7:$Q$165))+1,""),""),ROW()-ROW(A$167)+1)))," "),"")</f>
        <v>0</v>
      </c>
      <c r="R272">
        <f t="array" ref="R272">IFERROR(CONCATENATE(TEXT(INDEX($Q$7:$Q$165,SMALL(IF($T$7:$T$165&lt;&gt;"",IF($Q$7:$Q$165&lt;&gt;"",ROW($Q$7:$Q$165)-MIN(ROW($Q$7:$Q$165))+1,""),""),ROW()-ROW(A$167)+1)),"##0")," "),"")</f>
        <v>0</v>
      </c>
      <c r="S272">
        <f t="array" ref="S272">IFERROR(CONCATENATE((INDEX($A$7:$A$165,SMALL(IF($T$7:$T$165&lt;&gt;"",IF($Q$7:$Q$165&lt;&gt;"",ROW($Q$7:$Q$165)-MIN(ROW($Q$7:$Q$165))+1,""),""),ROW()-ROW(A$167)+1))),),"")</f>
        <v>0</v>
      </c>
      <c r="W272">
        <f t="array" ref="W272">IFERROR(CONCATENATE((INDEX($Z$7:$Z$165,SMALL(IF($Z$7:$Z$165&lt;&gt;"",IF($W$7:$W$165&lt;&gt;"",ROW($W$7:$W$165)-MIN(ROW($W$7:$W$165))+1,""),""),ROW()-ROW(A$167)+1))),","),"")</f>
        <v>0</v>
      </c>
      <c r="X272">
        <f t="array" ref="X272">IFERROR(CONCATENATE(TEXT(INDEX($W$7:$W$165,SMALL(IF($Z$7:$Z$165&lt;&gt;"",IF($W$7:$W$165&lt;&gt;"",ROW($W$7:$W$165)-MIN(ROW($W$7:$W$165))+1,""),""),ROW()-ROW(A$167)+1)),"##0"),","),"")</f>
        <v>0</v>
      </c>
      <c r="Y272">
        <f t="array" ref="Y272">IFERROR(CONCATENATE((INDEX($A$7:$A$165,SMALL(IF($Z$7:$Z$165&lt;&gt;"",IF($W$7:$W$165&lt;&gt;"",ROW($W$7:$W$165)-MIN(ROW($W$7:$W$165))+1,""),""),ROW()-ROW(A$167)+1))),),"")</f>
        <v>0</v>
      </c>
    </row>
    <row r="273" spans="11:25">
      <c r="K273">
        <f t="array" ref="K273">IFERROR(CONCATENATE(TEXT(INDEX($K$7:$K$165,SMALL(IF($N$7:$N$165&lt;&gt;"",IF($K$7:$K$165&lt;&gt;"",ROW($K$7:$K$165)-MIN(ROW($K$7:$K$165))+1,""),""),ROW()-ROW(A$167)+1)),"##0"),","),"")</f>
        <v>0</v>
      </c>
      <c r="L273">
        <f t="array" ref="L273">IFERROR(CONCATENATE((INDEX($N$7:$N$165,SMALL(IF($N$7:$N$165&lt;&gt;"",IF($K$7:$K$165&lt;&gt;"",ROW($K$7:$K$165)-MIN(ROW($K$7:$K$165))+1,""),""),ROW()-ROW(A$167)+1))),","),"")</f>
        <v>0</v>
      </c>
      <c r="M273">
        <f t="array" ref="M273">IFERROR(CONCATENATE((INDEX($A$7:$A$165,SMALL(IF($N$7:$N$165&lt;&gt;"",IF($K$7:$K$165&lt;&gt;"",ROW($K$7:$K$165)-MIN(ROW($K$7:$K$165))+1,""),""),ROW()-ROW(A$167)+1))),),"")</f>
        <v>0</v>
      </c>
      <c r="Q273">
        <f t="array" ref="Q273">IFERROR(CONCATENATE((INDEX($T$7:$T$165,SMALL(IF($T$7:$T$165&lt;&gt;"",IF($Q$7:$Q$165&lt;&gt;"",ROW($Q$7:$Q$165)-MIN(ROW($Q$7:$Q$165))+1,""),""),ROW()-ROW(A$167)+1)))," "),"")</f>
        <v>0</v>
      </c>
      <c r="R273">
        <f t="array" ref="R273">IFERROR(CONCATENATE(TEXT(INDEX($Q$7:$Q$165,SMALL(IF($T$7:$T$165&lt;&gt;"",IF($Q$7:$Q$165&lt;&gt;"",ROW($Q$7:$Q$165)-MIN(ROW($Q$7:$Q$165))+1,""),""),ROW()-ROW(A$167)+1)),"##0")," "),"")</f>
        <v>0</v>
      </c>
      <c r="S273">
        <f t="array" ref="S273">IFERROR(CONCATENATE((INDEX($A$7:$A$165,SMALL(IF($T$7:$T$165&lt;&gt;"",IF($Q$7:$Q$165&lt;&gt;"",ROW($Q$7:$Q$165)-MIN(ROW($Q$7:$Q$165))+1,""),""),ROW()-ROW(A$167)+1))),),"")</f>
        <v>0</v>
      </c>
      <c r="W273">
        <f t="array" ref="W273">IFERROR(CONCATENATE((INDEX($Z$7:$Z$165,SMALL(IF($Z$7:$Z$165&lt;&gt;"",IF($W$7:$W$165&lt;&gt;"",ROW($W$7:$W$165)-MIN(ROW($W$7:$W$165))+1,""),""),ROW()-ROW(A$167)+1))),","),"")</f>
        <v>0</v>
      </c>
      <c r="X273">
        <f t="array" ref="X273">IFERROR(CONCATENATE(TEXT(INDEX($W$7:$W$165,SMALL(IF($Z$7:$Z$165&lt;&gt;"",IF($W$7:$W$165&lt;&gt;"",ROW($W$7:$W$165)-MIN(ROW($W$7:$W$165))+1,""),""),ROW()-ROW(A$167)+1)),"##0"),","),"")</f>
        <v>0</v>
      </c>
      <c r="Y273">
        <f t="array" ref="Y273">IFERROR(CONCATENATE((INDEX($A$7:$A$165,SMALL(IF($Z$7:$Z$165&lt;&gt;"",IF($W$7:$W$165&lt;&gt;"",ROW($W$7:$W$165)-MIN(ROW($W$7:$W$165))+1,""),""),ROW()-ROW(A$167)+1))),),"")</f>
        <v>0</v>
      </c>
    </row>
    <row r="274" spans="11:25">
      <c r="K274">
        <f t="array" ref="K274">IFERROR(CONCATENATE(TEXT(INDEX($K$7:$K$165,SMALL(IF($N$7:$N$165&lt;&gt;"",IF($K$7:$K$165&lt;&gt;"",ROW($K$7:$K$165)-MIN(ROW($K$7:$K$165))+1,""),""),ROW()-ROW(A$167)+1)),"##0"),","),"")</f>
        <v>0</v>
      </c>
      <c r="L274">
        <f t="array" ref="L274">IFERROR(CONCATENATE((INDEX($N$7:$N$165,SMALL(IF($N$7:$N$165&lt;&gt;"",IF($K$7:$K$165&lt;&gt;"",ROW($K$7:$K$165)-MIN(ROW($K$7:$K$165))+1,""),""),ROW()-ROW(A$167)+1))),","),"")</f>
        <v>0</v>
      </c>
      <c r="M274">
        <f t="array" ref="M274">IFERROR(CONCATENATE((INDEX($A$7:$A$165,SMALL(IF($N$7:$N$165&lt;&gt;"",IF($K$7:$K$165&lt;&gt;"",ROW($K$7:$K$165)-MIN(ROW($K$7:$K$165))+1,""),""),ROW()-ROW(A$167)+1))),),"")</f>
        <v>0</v>
      </c>
      <c r="Q274">
        <f t="array" ref="Q274">IFERROR(CONCATENATE((INDEX($T$7:$T$165,SMALL(IF($T$7:$T$165&lt;&gt;"",IF($Q$7:$Q$165&lt;&gt;"",ROW($Q$7:$Q$165)-MIN(ROW($Q$7:$Q$165))+1,""),""),ROW()-ROW(A$167)+1)))," "),"")</f>
        <v>0</v>
      </c>
      <c r="R274">
        <f t="array" ref="R274">IFERROR(CONCATENATE(TEXT(INDEX($Q$7:$Q$165,SMALL(IF($T$7:$T$165&lt;&gt;"",IF($Q$7:$Q$165&lt;&gt;"",ROW($Q$7:$Q$165)-MIN(ROW($Q$7:$Q$165))+1,""),""),ROW()-ROW(A$167)+1)),"##0")," "),"")</f>
        <v>0</v>
      </c>
      <c r="S274">
        <f t="array" ref="S274">IFERROR(CONCATENATE((INDEX($A$7:$A$165,SMALL(IF($T$7:$T$165&lt;&gt;"",IF($Q$7:$Q$165&lt;&gt;"",ROW($Q$7:$Q$165)-MIN(ROW($Q$7:$Q$165))+1,""),""),ROW()-ROW(A$167)+1))),),"")</f>
        <v>0</v>
      </c>
      <c r="W274">
        <f t="array" ref="W274">IFERROR(CONCATENATE((INDEX($Z$7:$Z$165,SMALL(IF($Z$7:$Z$165&lt;&gt;"",IF($W$7:$W$165&lt;&gt;"",ROW($W$7:$W$165)-MIN(ROW($W$7:$W$165))+1,""),""),ROW()-ROW(A$167)+1))),","),"")</f>
        <v>0</v>
      </c>
      <c r="X274">
        <f t="array" ref="X274">IFERROR(CONCATENATE(TEXT(INDEX($W$7:$W$165,SMALL(IF($Z$7:$Z$165&lt;&gt;"",IF($W$7:$W$165&lt;&gt;"",ROW($W$7:$W$165)-MIN(ROW($W$7:$W$165))+1,""),""),ROW()-ROW(A$167)+1)),"##0"),","),"")</f>
        <v>0</v>
      </c>
      <c r="Y274">
        <f t="array" ref="Y274">IFERROR(CONCATENATE((INDEX($A$7:$A$165,SMALL(IF($Z$7:$Z$165&lt;&gt;"",IF($W$7:$W$165&lt;&gt;"",ROW($W$7:$W$165)-MIN(ROW($W$7:$W$165))+1,""),""),ROW()-ROW(A$167)+1))),),"")</f>
        <v>0</v>
      </c>
    </row>
    <row r="275" spans="11:25">
      <c r="K275">
        <f t="array" ref="K275">IFERROR(CONCATENATE(TEXT(INDEX($K$7:$K$165,SMALL(IF($N$7:$N$165&lt;&gt;"",IF($K$7:$K$165&lt;&gt;"",ROW($K$7:$K$165)-MIN(ROW($K$7:$K$165))+1,""),""),ROW()-ROW(A$167)+1)),"##0"),","),"")</f>
        <v>0</v>
      </c>
      <c r="L275">
        <f t="array" ref="L275">IFERROR(CONCATENATE((INDEX($N$7:$N$165,SMALL(IF($N$7:$N$165&lt;&gt;"",IF($K$7:$K$165&lt;&gt;"",ROW($K$7:$K$165)-MIN(ROW($K$7:$K$165))+1,""),""),ROW()-ROW(A$167)+1))),","),"")</f>
        <v>0</v>
      </c>
      <c r="M275">
        <f t="array" ref="M275">IFERROR(CONCATENATE((INDEX($A$7:$A$165,SMALL(IF($N$7:$N$165&lt;&gt;"",IF($K$7:$K$165&lt;&gt;"",ROW($K$7:$K$165)-MIN(ROW($K$7:$K$165))+1,""),""),ROW()-ROW(A$167)+1))),),"")</f>
        <v>0</v>
      </c>
      <c r="Q275">
        <f t="array" ref="Q275">IFERROR(CONCATENATE((INDEX($T$7:$T$165,SMALL(IF($T$7:$T$165&lt;&gt;"",IF($Q$7:$Q$165&lt;&gt;"",ROW($Q$7:$Q$165)-MIN(ROW($Q$7:$Q$165))+1,""),""),ROW()-ROW(A$167)+1)))," "),"")</f>
        <v>0</v>
      </c>
      <c r="R275">
        <f t="array" ref="R275">IFERROR(CONCATENATE(TEXT(INDEX($Q$7:$Q$165,SMALL(IF($T$7:$T$165&lt;&gt;"",IF($Q$7:$Q$165&lt;&gt;"",ROW($Q$7:$Q$165)-MIN(ROW($Q$7:$Q$165))+1,""),""),ROW()-ROW(A$167)+1)),"##0")," "),"")</f>
        <v>0</v>
      </c>
      <c r="S275">
        <f t="array" ref="S275">IFERROR(CONCATENATE((INDEX($A$7:$A$165,SMALL(IF($T$7:$T$165&lt;&gt;"",IF($Q$7:$Q$165&lt;&gt;"",ROW($Q$7:$Q$165)-MIN(ROW($Q$7:$Q$165))+1,""),""),ROW()-ROW(A$167)+1))),),"")</f>
        <v>0</v>
      </c>
      <c r="W275">
        <f t="array" ref="W275">IFERROR(CONCATENATE((INDEX($Z$7:$Z$165,SMALL(IF($Z$7:$Z$165&lt;&gt;"",IF($W$7:$W$165&lt;&gt;"",ROW($W$7:$W$165)-MIN(ROW($W$7:$W$165))+1,""),""),ROW()-ROW(A$167)+1))),","),"")</f>
        <v>0</v>
      </c>
      <c r="X275">
        <f t="array" ref="X275">IFERROR(CONCATENATE(TEXT(INDEX($W$7:$W$165,SMALL(IF($Z$7:$Z$165&lt;&gt;"",IF($W$7:$W$165&lt;&gt;"",ROW($W$7:$W$165)-MIN(ROW($W$7:$W$165))+1,""),""),ROW()-ROW(A$167)+1)),"##0"),","),"")</f>
        <v>0</v>
      </c>
      <c r="Y275">
        <f t="array" ref="Y275">IFERROR(CONCATENATE((INDEX($A$7:$A$165,SMALL(IF($Z$7:$Z$165&lt;&gt;"",IF($W$7:$W$165&lt;&gt;"",ROW($W$7:$W$165)-MIN(ROW($W$7:$W$165))+1,""),""),ROW()-ROW(A$167)+1))),),"")</f>
        <v>0</v>
      </c>
    </row>
    <row r="276" spans="11:25">
      <c r="K276">
        <f t="array" ref="K276">IFERROR(CONCATENATE(TEXT(INDEX($K$7:$K$165,SMALL(IF($N$7:$N$165&lt;&gt;"",IF($K$7:$K$165&lt;&gt;"",ROW($K$7:$K$165)-MIN(ROW($K$7:$K$165))+1,""),""),ROW()-ROW(A$167)+1)),"##0"),","),"")</f>
        <v>0</v>
      </c>
      <c r="L276">
        <f t="array" ref="L276">IFERROR(CONCATENATE((INDEX($N$7:$N$165,SMALL(IF($N$7:$N$165&lt;&gt;"",IF($K$7:$K$165&lt;&gt;"",ROW($K$7:$K$165)-MIN(ROW($K$7:$K$165))+1,""),""),ROW()-ROW(A$167)+1))),","),"")</f>
        <v>0</v>
      </c>
      <c r="M276">
        <f t="array" ref="M276">IFERROR(CONCATENATE((INDEX($A$7:$A$165,SMALL(IF($N$7:$N$165&lt;&gt;"",IF($K$7:$K$165&lt;&gt;"",ROW($K$7:$K$165)-MIN(ROW($K$7:$K$165))+1,""),""),ROW()-ROW(A$167)+1))),),"")</f>
        <v>0</v>
      </c>
      <c r="Q276">
        <f t="array" ref="Q276">IFERROR(CONCATENATE((INDEX($T$7:$T$165,SMALL(IF($T$7:$T$165&lt;&gt;"",IF($Q$7:$Q$165&lt;&gt;"",ROW($Q$7:$Q$165)-MIN(ROW($Q$7:$Q$165))+1,""),""),ROW()-ROW(A$167)+1)))," "),"")</f>
        <v>0</v>
      </c>
      <c r="R276">
        <f t="array" ref="R276">IFERROR(CONCATENATE(TEXT(INDEX($Q$7:$Q$165,SMALL(IF($T$7:$T$165&lt;&gt;"",IF($Q$7:$Q$165&lt;&gt;"",ROW($Q$7:$Q$165)-MIN(ROW($Q$7:$Q$165))+1,""),""),ROW()-ROW(A$167)+1)),"##0")," "),"")</f>
        <v>0</v>
      </c>
      <c r="S276">
        <f t="array" ref="S276">IFERROR(CONCATENATE((INDEX($A$7:$A$165,SMALL(IF($T$7:$T$165&lt;&gt;"",IF($Q$7:$Q$165&lt;&gt;"",ROW($Q$7:$Q$165)-MIN(ROW($Q$7:$Q$165))+1,""),""),ROW()-ROW(A$167)+1))),),"")</f>
        <v>0</v>
      </c>
      <c r="W276">
        <f t="array" ref="W276">IFERROR(CONCATENATE((INDEX($Z$7:$Z$165,SMALL(IF($Z$7:$Z$165&lt;&gt;"",IF($W$7:$W$165&lt;&gt;"",ROW($W$7:$W$165)-MIN(ROW($W$7:$W$165))+1,""),""),ROW()-ROW(A$167)+1))),","),"")</f>
        <v>0</v>
      </c>
      <c r="X276">
        <f t="array" ref="X276">IFERROR(CONCATENATE(TEXT(INDEX($W$7:$W$165,SMALL(IF($Z$7:$Z$165&lt;&gt;"",IF($W$7:$W$165&lt;&gt;"",ROW($W$7:$W$165)-MIN(ROW($W$7:$W$165))+1,""),""),ROW()-ROW(A$167)+1)),"##0"),","),"")</f>
        <v>0</v>
      </c>
      <c r="Y276">
        <f t="array" ref="Y276">IFERROR(CONCATENATE((INDEX($A$7:$A$165,SMALL(IF($Z$7:$Z$165&lt;&gt;"",IF($W$7:$W$165&lt;&gt;"",ROW($W$7:$W$165)-MIN(ROW($W$7:$W$165))+1,""),""),ROW()-ROW(A$167)+1))),),"")</f>
        <v>0</v>
      </c>
    </row>
    <row r="277" spans="11:25">
      <c r="K277">
        <f t="array" ref="K277">IFERROR(CONCATENATE(TEXT(INDEX($K$7:$K$165,SMALL(IF($N$7:$N$165&lt;&gt;"",IF($K$7:$K$165&lt;&gt;"",ROW($K$7:$K$165)-MIN(ROW($K$7:$K$165))+1,""),""),ROW()-ROW(A$167)+1)),"##0"),","),"")</f>
        <v>0</v>
      </c>
      <c r="L277">
        <f t="array" ref="L277">IFERROR(CONCATENATE((INDEX($N$7:$N$165,SMALL(IF($N$7:$N$165&lt;&gt;"",IF($K$7:$K$165&lt;&gt;"",ROW($K$7:$K$165)-MIN(ROW($K$7:$K$165))+1,""),""),ROW()-ROW(A$167)+1))),","),"")</f>
        <v>0</v>
      </c>
      <c r="M277">
        <f t="array" ref="M277">IFERROR(CONCATENATE((INDEX($A$7:$A$165,SMALL(IF($N$7:$N$165&lt;&gt;"",IF($K$7:$K$165&lt;&gt;"",ROW($K$7:$K$165)-MIN(ROW($K$7:$K$165))+1,""),""),ROW()-ROW(A$167)+1))),),"")</f>
        <v>0</v>
      </c>
      <c r="Q277">
        <f t="array" ref="Q277">IFERROR(CONCATENATE((INDEX($T$7:$T$165,SMALL(IF($T$7:$T$165&lt;&gt;"",IF($Q$7:$Q$165&lt;&gt;"",ROW($Q$7:$Q$165)-MIN(ROW($Q$7:$Q$165))+1,""),""),ROW()-ROW(A$167)+1)))," "),"")</f>
        <v>0</v>
      </c>
      <c r="R277">
        <f t="array" ref="R277">IFERROR(CONCATENATE(TEXT(INDEX($Q$7:$Q$165,SMALL(IF($T$7:$T$165&lt;&gt;"",IF($Q$7:$Q$165&lt;&gt;"",ROW($Q$7:$Q$165)-MIN(ROW($Q$7:$Q$165))+1,""),""),ROW()-ROW(A$167)+1)),"##0")," "),"")</f>
        <v>0</v>
      </c>
      <c r="S277">
        <f t="array" ref="S277">IFERROR(CONCATENATE((INDEX($A$7:$A$165,SMALL(IF($T$7:$T$165&lt;&gt;"",IF($Q$7:$Q$165&lt;&gt;"",ROW($Q$7:$Q$165)-MIN(ROW($Q$7:$Q$165))+1,""),""),ROW()-ROW(A$167)+1))),),"")</f>
        <v>0</v>
      </c>
      <c r="W277">
        <f t="array" ref="W277">IFERROR(CONCATENATE((INDEX($Z$7:$Z$165,SMALL(IF($Z$7:$Z$165&lt;&gt;"",IF($W$7:$W$165&lt;&gt;"",ROW($W$7:$W$165)-MIN(ROW($W$7:$W$165))+1,""),""),ROW()-ROW(A$167)+1))),","),"")</f>
        <v>0</v>
      </c>
      <c r="X277">
        <f t="array" ref="X277">IFERROR(CONCATENATE(TEXT(INDEX($W$7:$W$165,SMALL(IF($Z$7:$Z$165&lt;&gt;"",IF($W$7:$W$165&lt;&gt;"",ROW($W$7:$W$165)-MIN(ROW($W$7:$W$165))+1,""),""),ROW()-ROW(A$167)+1)),"##0"),","),"")</f>
        <v>0</v>
      </c>
      <c r="Y277">
        <f t="array" ref="Y277">IFERROR(CONCATENATE((INDEX($A$7:$A$165,SMALL(IF($Z$7:$Z$165&lt;&gt;"",IF($W$7:$W$165&lt;&gt;"",ROW($W$7:$W$165)-MIN(ROW($W$7:$W$165))+1,""),""),ROW()-ROW(A$167)+1))),),"")</f>
        <v>0</v>
      </c>
    </row>
    <row r="278" spans="11:25">
      <c r="K278">
        <f t="array" ref="K278">IFERROR(CONCATENATE(TEXT(INDEX($K$7:$K$165,SMALL(IF($N$7:$N$165&lt;&gt;"",IF($K$7:$K$165&lt;&gt;"",ROW($K$7:$K$165)-MIN(ROW($K$7:$K$165))+1,""),""),ROW()-ROW(A$167)+1)),"##0"),","),"")</f>
        <v>0</v>
      </c>
      <c r="L278">
        <f t="array" ref="L278">IFERROR(CONCATENATE((INDEX($N$7:$N$165,SMALL(IF($N$7:$N$165&lt;&gt;"",IF($K$7:$K$165&lt;&gt;"",ROW($K$7:$K$165)-MIN(ROW($K$7:$K$165))+1,""),""),ROW()-ROW(A$167)+1))),","),"")</f>
        <v>0</v>
      </c>
      <c r="M278">
        <f t="array" ref="M278">IFERROR(CONCATENATE((INDEX($A$7:$A$165,SMALL(IF($N$7:$N$165&lt;&gt;"",IF($K$7:$K$165&lt;&gt;"",ROW($K$7:$K$165)-MIN(ROW($K$7:$K$165))+1,""),""),ROW()-ROW(A$167)+1))),),"")</f>
        <v>0</v>
      </c>
      <c r="Q278">
        <f t="array" ref="Q278">IFERROR(CONCATENATE((INDEX($T$7:$T$165,SMALL(IF($T$7:$T$165&lt;&gt;"",IF($Q$7:$Q$165&lt;&gt;"",ROW($Q$7:$Q$165)-MIN(ROW($Q$7:$Q$165))+1,""),""),ROW()-ROW(A$167)+1)))," "),"")</f>
        <v>0</v>
      </c>
      <c r="R278">
        <f t="array" ref="R278">IFERROR(CONCATENATE(TEXT(INDEX($Q$7:$Q$165,SMALL(IF($T$7:$T$165&lt;&gt;"",IF($Q$7:$Q$165&lt;&gt;"",ROW($Q$7:$Q$165)-MIN(ROW($Q$7:$Q$165))+1,""),""),ROW()-ROW(A$167)+1)),"##0")," "),"")</f>
        <v>0</v>
      </c>
      <c r="S278">
        <f t="array" ref="S278">IFERROR(CONCATENATE((INDEX($A$7:$A$165,SMALL(IF($T$7:$T$165&lt;&gt;"",IF($Q$7:$Q$165&lt;&gt;"",ROW($Q$7:$Q$165)-MIN(ROW($Q$7:$Q$165))+1,""),""),ROW()-ROW(A$167)+1))),),"")</f>
        <v>0</v>
      </c>
      <c r="W278">
        <f t="array" ref="W278">IFERROR(CONCATENATE((INDEX($Z$7:$Z$165,SMALL(IF($Z$7:$Z$165&lt;&gt;"",IF($W$7:$W$165&lt;&gt;"",ROW($W$7:$W$165)-MIN(ROW($W$7:$W$165))+1,""),""),ROW()-ROW(A$167)+1))),","),"")</f>
        <v>0</v>
      </c>
      <c r="X278">
        <f t="array" ref="X278">IFERROR(CONCATENATE(TEXT(INDEX($W$7:$W$165,SMALL(IF($Z$7:$Z$165&lt;&gt;"",IF($W$7:$W$165&lt;&gt;"",ROW($W$7:$W$165)-MIN(ROW($W$7:$W$165))+1,""),""),ROW()-ROW(A$167)+1)),"##0"),","),"")</f>
        <v>0</v>
      </c>
      <c r="Y278">
        <f t="array" ref="Y278">IFERROR(CONCATENATE((INDEX($A$7:$A$165,SMALL(IF($Z$7:$Z$165&lt;&gt;"",IF($W$7:$W$165&lt;&gt;"",ROW($W$7:$W$165)-MIN(ROW($W$7:$W$165))+1,""),""),ROW()-ROW(A$167)+1))),),"")</f>
        <v>0</v>
      </c>
    </row>
    <row r="279" spans="11:25">
      <c r="K279">
        <f t="array" ref="K279">IFERROR(CONCATENATE(TEXT(INDEX($K$7:$K$165,SMALL(IF($N$7:$N$165&lt;&gt;"",IF($K$7:$K$165&lt;&gt;"",ROW($K$7:$K$165)-MIN(ROW($K$7:$K$165))+1,""),""),ROW()-ROW(A$167)+1)),"##0"),","),"")</f>
        <v>0</v>
      </c>
      <c r="L279">
        <f t="array" ref="L279">IFERROR(CONCATENATE((INDEX($N$7:$N$165,SMALL(IF($N$7:$N$165&lt;&gt;"",IF($K$7:$K$165&lt;&gt;"",ROW($K$7:$K$165)-MIN(ROW($K$7:$K$165))+1,""),""),ROW()-ROW(A$167)+1))),","),"")</f>
        <v>0</v>
      </c>
      <c r="M279">
        <f t="array" ref="M279">IFERROR(CONCATENATE((INDEX($A$7:$A$165,SMALL(IF($N$7:$N$165&lt;&gt;"",IF($K$7:$K$165&lt;&gt;"",ROW($K$7:$K$165)-MIN(ROW($K$7:$K$165))+1,""),""),ROW()-ROW(A$167)+1))),),"")</f>
        <v>0</v>
      </c>
      <c r="Q279">
        <f t="array" ref="Q279">IFERROR(CONCATENATE((INDEX($T$7:$T$165,SMALL(IF($T$7:$T$165&lt;&gt;"",IF($Q$7:$Q$165&lt;&gt;"",ROW($Q$7:$Q$165)-MIN(ROW($Q$7:$Q$165))+1,""),""),ROW()-ROW(A$167)+1)))," "),"")</f>
        <v>0</v>
      </c>
      <c r="R279">
        <f t="array" ref="R279">IFERROR(CONCATENATE(TEXT(INDEX($Q$7:$Q$165,SMALL(IF($T$7:$T$165&lt;&gt;"",IF($Q$7:$Q$165&lt;&gt;"",ROW($Q$7:$Q$165)-MIN(ROW($Q$7:$Q$165))+1,""),""),ROW()-ROW(A$167)+1)),"##0")," "),"")</f>
        <v>0</v>
      </c>
      <c r="S279">
        <f t="array" ref="S279">IFERROR(CONCATENATE((INDEX($A$7:$A$165,SMALL(IF($T$7:$T$165&lt;&gt;"",IF($Q$7:$Q$165&lt;&gt;"",ROW($Q$7:$Q$165)-MIN(ROW($Q$7:$Q$165))+1,""),""),ROW()-ROW(A$167)+1))),),"")</f>
        <v>0</v>
      </c>
      <c r="W279">
        <f t="array" ref="W279">IFERROR(CONCATENATE((INDEX($Z$7:$Z$165,SMALL(IF($Z$7:$Z$165&lt;&gt;"",IF($W$7:$W$165&lt;&gt;"",ROW($W$7:$W$165)-MIN(ROW($W$7:$W$165))+1,""),""),ROW()-ROW(A$167)+1))),","),"")</f>
        <v>0</v>
      </c>
      <c r="X279">
        <f t="array" ref="X279">IFERROR(CONCATENATE(TEXT(INDEX($W$7:$W$165,SMALL(IF($Z$7:$Z$165&lt;&gt;"",IF($W$7:$W$165&lt;&gt;"",ROW($W$7:$W$165)-MIN(ROW($W$7:$W$165))+1,""),""),ROW()-ROW(A$167)+1)),"##0"),","),"")</f>
        <v>0</v>
      </c>
      <c r="Y279">
        <f t="array" ref="Y279">IFERROR(CONCATENATE((INDEX($A$7:$A$165,SMALL(IF($Z$7:$Z$165&lt;&gt;"",IF($W$7:$W$165&lt;&gt;"",ROW($W$7:$W$165)-MIN(ROW($W$7:$W$165))+1,""),""),ROW()-ROW(A$167)+1))),),"")</f>
        <v>0</v>
      </c>
    </row>
    <row r="280" spans="11:25">
      <c r="K280">
        <f t="array" ref="K280">IFERROR(CONCATENATE(TEXT(INDEX($K$7:$K$165,SMALL(IF($N$7:$N$165&lt;&gt;"",IF($K$7:$K$165&lt;&gt;"",ROW($K$7:$K$165)-MIN(ROW($K$7:$K$165))+1,""),""),ROW()-ROW(A$167)+1)),"##0"),","),"")</f>
        <v>0</v>
      </c>
      <c r="L280">
        <f t="array" ref="L280">IFERROR(CONCATENATE((INDEX($N$7:$N$165,SMALL(IF($N$7:$N$165&lt;&gt;"",IF($K$7:$K$165&lt;&gt;"",ROW($K$7:$K$165)-MIN(ROW($K$7:$K$165))+1,""),""),ROW()-ROW(A$167)+1))),","),"")</f>
        <v>0</v>
      </c>
      <c r="M280">
        <f t="array" ref="M280">IFERROR(CONCATENATE((INDEX($A$7:$A$165,SMALL(IF($N$7:$N$165&lt;&gt;"",IF($K$7:$K$165&lt;&gt;"",ROW($K$7:$K$165)-MIN(ROW($K$7:$K$165))+1,""),""),ROW()-ROW(A$167)+1))),),"")</f>
        <v>0</v>
      </c>
      <c r="Q280">
        <f t="array" ref="Q280">IFERROR(CONCATENATE((INDEX($T$7:$T$165,SMALL(IF($T$7:$T$165&lt;&gt;"",IF($Q$7:$Q$165&lt;&gt;"",ROW($Q$7:$Q$165)-MIN(ROW($Q$7:$Q$165))+1,""),""),ROW()-ROW(A$167)+1)))," "),"")</f>
        <v>0</v>
      </c>
      <c r="R280">
        <f t="array" ref="R280">IFERROR(CONCATENATE(TEXT(INDEX($Q$7:$Q$165,SMALL(IF($T$7:$T$165&lt;&gt;"",IF($Q$7:$Q$165&lt;&gt;"",ROW($Q$7:$Q$165)-MIN(ROW($Q$7:$Q$165))+1,""),""),ROW()-ROW(A$167)+1)),"##0")," "),"")</f>
        <v>0</v>
      </c>
      <c r="S280">
        <f t="array" ref="S280">IFERROR(CONCATENATE((INDEX($A$7:$A$165,SMALL(IF($T$7:$T$165&lt;&gt;"",IF($Q$7:$Q$165&lt;&gt;"",ROW($Q$7:$Q$165)-MIN(ROW($Q$7:$Q$165))+1,""),""),ROW()-ROW(A$167)+1))),),"")</f>
        <v>0</v>
      </c>
      <c r="W280">
        <f t="array" ref="W280">IFERROR(CONCATENATE((INDEX($Z$7:$Z$165,SMALL(IF($Z$7:$Z$165&lt;&gt;"",IF($W$7:$W$165&lt;&gt;"",ROW($W$7:$W$165)-MIN(ROW($W$7:$W$165))+1,""),""),ROW()-ROW(A$167)+1))),","),"")</f>
        <v>0</v>
      </c>
      <c r="X280">
        <f t="array" ref="X280">IFERROR(CONCATENATE(TEXT(INDEX($W$7:$W$165,SMALL(IF($Z$7:$Z$165&lt;&gt;"",IF($W$7:$W$165&lt;&gt;"",ROW($W$7:$W$165)-MIN(ROW($W$7:$W$165))+1,""),""),ROW()-ROW(A$167)+1)),"##0"),","),"")</f>
        <v>0</v>
      </c>
      <c r="Y280">
        <f t="array" ref="Y280">IFERROR(CONCATENATE((INDEX($A$7:$A$165,SMALL(IF($Z$7:$Z$165&lt;&gt;"",IF($W$7:$W$165&lt;&gt;"",ROW($W$7:$W$165)-MIN(ROW($W$7:$W$165))+1,""),""),ROW()-ROW(A$167)+1))),),"")</f>
        <v>0</v>
      </c>
    </row>
    <row r="281" spans="11:25">
      <c r="K281">
        <f t="array" ref="K281">IFERROR(CONCATENATE(TEXT(INDEX($K$7:$K$165,SMALL(IF($N$7:$N$165&lt;&gt;"",IF($K$7:$K$165&lt;&gt;"",ROW($K$7:$K$165)-MIN(ROW($K$7:$K$165))+1,""),""),ROW()-ROW(A$167)+1)),"##0"),","),"")</f>
        <v>0</v>
      </c>
      <c r="L281">
        <f t="array" ref="L281">IFERROR(CONCATENATE((INDEX($N$7:$N$165,SMALL(IF($N$7:$N$165&lt;&gt;"",IF($K$7:$K$165&lt;&gt;"",ROW($K$7:$K$165)-MIN(ROW($K$7:$K$165))+1,""),""),ROW()-ROW(A$167)+1))),","),"")</f>
        <v>0</v>
      </c>
      <c r="M281">
        <f t="array" ref="M281">IFERROR(CONCATENATE((INDEX($A$7:$A$165,SMALL(IF($N$7:$N$165&lt;&gt;"",IF($K$7:$K$165&lt;&gt;"",ROW($K$7:$K$165)-MIN(ROW($K$7:$K$165))+1,""),""),ROW()-ROW(A$167)+1))),),"")</f>
        <v>0</v>
      </c>
      <c r="Q281">
        <f t="array" ref="Q281">IFERROR(CONCATENATE((INDEX($T$7:$T$165,SMALL(IF($T$7:$T$165&lt;&gt;"",IF($Q$7:$Q$165&lt;&gt;"",ROW($Q$7:$Q$165)-MIN(ROW($Q$7:$Q$165))+1,""),""),ROW()-ROW(A$167)+1)))," "),"")</f>
        <v>0</v>
      </c>
      <c r="R281">
        <f t="array" ref="R281">IFERROR(CONCATENATE(TEXT(INDEX($Q$7:$Q$165,SMALL(IF($T$7:$T$165&lt;&gt;"",IF($Q$7:$Q$165&lt;&gt;"",ROW($Q$7:$Q$165)-MIN(ROW($Q$7:$Q$165))+1,""),""),ROW()-ROW(A$167)+1)),"##0")," "),"")</f>
        <v>0</v>
      </c>
      <c r="S281">
        <f t="array" ref="S281">IFERROR(CONCATENATE((INDEX($A$7:$A$165,SMALL(IF($T$7:$T$165&lt;&gt;"",IF($Q$7:$Q$165&lt;&gt;"",ROW($Q$7:$Q$165)-MIN(ROW($Q$7:$Q$165))+1,""),""),ROW()-ROW(A$167)+1))),),"")</f>
        <v>0</v>
      </c>
      <c r="W281">
        <f t="array" ref="W281">IFERROR(CONCATENATE((INDEX($Z$7:$Z$165,SMALL(IF($Z$7:$Z$165&lt;&gt;"",IF($W$7:$W$165&lt;&gt;"",ROW($W$7:$W$165)-MIN(ROW($W$7:$W$165))+1,""),""),ROW()-ROW(A$167)+1))),","),"")</f>
        <v>0</v>
      </c>
      <c r="X281">
        <f t="array" ref="X281">IFERROR(CONCATENATE(TEXT(INDEX($W$7:$W$165,SMALL(IF($Z$7:$Z$165&lt;&gt;"",IF($W$7:$W$165&lt;&gt;"",ROW($W$7:$W$165)-MIN(ROW($W$7:$W$165))+1,""),""),ROW()-ROW(A$167)+1)),"##0"),","),"")</f>
        <v>0</v>
      </c>
      <c r="Y281">
        <f t="array" ref="Y281">IFERROR(CONCATENATE((INDEX($A$7:$A$165,SMALL(IF($Z$7:$Z$165&lt;&gt;"",IF($W$7:$W$165&lt;&gt;"",ROW($W$7:$W$165)-MIN(ROW($W$7:$W$165))+1,""),""),ROW()-ROW(A$167)+1))),),"")</f>
        <v>0</v>
      </c>
    </row>
    <row r="282" spans="11:25">
      <c r="K282">
        <f t="array" ref="K282">IFERROR(CONCATENATE(TEXT(INDEX($K$7:$K$165,SMALL(IF($N$7:$N$165&lt;&gt;"",IF($K$7:$K$165&lt;&gt;"",ROW($K$7:$K$165)-MIN(ROW($K$7:$K$165))+1,""),""),ROW()-ROW(A$167)+1)),"##0"),","),"")</f>
        <v>0</v>
      </c>
      <c r="L282">
        <f t="array" ref="L282">IFERROR(CONCATENATE((INDEX($N$7:$N$165,SMALL(IF($N$7:$N$165&lt;&gt;"",IF($K$7:$K$165&lt;&gt;"",ROW($K$7:$K$165)-MIN(ROW($K$7:$K$165))+1,""),""),ROW()-ROW(A$167)+1))),","),"")</f>
        <v>0</v>
      </c>
      <c r="M282">
        <f t="array" ref="M282">IFERROR(CONCATENATE((INDEX($A$7:$A$165,SMALL(IF($N$7:$N$165&lt;&gt;"",IF($K$7:$K$165&lt;&gt;"",ROW($K$7:$K$165)-MIN(ROW($K$7:$K$165))+1,""),""),ROW()-ROW(A$167)+1))),),"")</f>
        <v>0</v>
      </c>
      <c r="Q282">
        <f t="array" ref="Q282">IFERROR(CONCATENATE((INDEX($T$7:$T$165,SMALL(IF($T$7:$T$165&lt;&gt;"",IF($Q$7:$Q$165&lt;&gt;"",ROW($Q$7:$Q$165)-MIN(ROW($Q$7:$Q$165))+1,""),""),ROW()-ROW(A$167)+1)))," "),"")</f>
        <v>0</v>
      </c>
      <c r="R282">
        <f t="array" ref="R282">IFERROR(CONCATENATE(TEXT(INDEX($Q$7:$Q$165,SMALL(IF($T$7:$T$165&lt;&gt;"",IF($Q$7:$Q$165&lt;&gt;"",ROW($Q$7:$Q$165)-MIN(ROW($Q$7:$Q$165))+1,""),""),ROW()-ROW(A$167)+1)),"##0")," "),"")</f>
        <v>0</v>
      </c>
      <c r="S282">
        <f t="array" ref="S282">IFERROR(CONCATENATE((INDEX($A$7:$A$165,SMALL(IF($T$7:$T$165&lt;&gt;"",IF($Q$7:$Q$165&lt;&gt;"",ROW($Q$7:$Q$165)-MIN(ROW($Q$7:$Q$165))+1,""),""),ROW()-ROW(A$167)+1))),),"")</f>
        <v>0</v>
      </c>
      <c r="W282">
        <f t="array" ref="W282">IFERROR(CONCATENATE((INDEX($Z$7:$Z$165,SMALL(IF($Z$7:$Z$165&lt;&gt;"",IF($W$7:$W$165&lt;&gt;"",ROW($W$7:$W$165)-MIN(ROW($W$7:$W$165))+1,""),""),ROW()-ROW(A$167)+1))),","),"")</f>
        <v>0</v>
      </c>
      <c r="X282">
        <f t="array" ref="X282">IFERROR(CONCATENATE(TEXT(INDEX($W$7:$W$165,SMALL(IF($Z$7:$Z$165&lt;&gt;"",IF($W$7:$W$165&lt;&gt;"",ROW($W$7:$W$165)-MIN(ROW($W$7:$W$165))+1,""),""),ROW()-ROW(A$167)+1)),"##0"),","),"")</f>
        <v>0</v>
      </c>
      <c r="Y282">
        <f t="array" ref="Y282">IFERROR(CONCATENATE((INDEX($A$7:$A$165,SMALL(IF($Z$7:$Z$165&lt;&gt;"",IF($W$7:$W$165&lt;&gt;"",ROW($W$7:$W$165)-MIN(ROW($W$7:$W$165))+1,""),""),ROW()-ROW(A$167)+1))),),"")</f>
        <v>0</v>
      </c>
    </row>
    <row r="283" spans="11:25">
      <c r="K283">
        <f t="array" ref="K283">IFERROR(CONCATENATE(TEXT(INDEX($K$7:$K$165,SMALL(IF($N$7:$N$165&lt;&gt;"",IF($K$7:$K$165&lt;&gt;"",ROW($K$7:$K$165)-MIN(ROW($K$7:$K$165))+1,""),""),ROW()-ROW(A$167)+1)),"##0"),","),"")</f>
        <v>0</v>
      </c>
      <c r="L283">
        <f t="array" ref="L283">IFERROR(CONCATENATE((INDEX($N$7:$N$165,SMALL(IF($N$7:$N$165&lt;&gt;"",IF($K$7:$K$165&lt;&gt;"",ROW($K$7:$K$165)-MIN(ROW($K$7:$K$165))+1,""),""),ROW()-ROW(A$167)+1))),","),"")</f>
        <v>0</v>
      </c>
      <c r="M283">
        <f t="array" ref="M283">IFERROR(CONCATENATE((INDEX($A$7:$A$165,SMALL(IF($N$7:$N$165&lt;&gt;"",IF($K$7:$K$165&lt;&gt;"",ROW($K$7:$K$165)-MIN(ROW($K$7:$K$165))+1,""),""),ROW()-ROW(A$167)+1))),),"")</f>
        <v>0</v>
      </c>
      <c r="Q283">
        <f t="array" ref="Q283">IFERROR(CONCATENATE((INDEX($T$7:$T$165,SMALL(IF($T$7:$T$165&lt;&gt;"",IF($Q$7:$Q$165&lt;&gt;"",ROW($Q$7:$Q$165)-MIN(ROW($Q$7:$Q$165))+1,""),""),ROW()-ROW(A$167)+1)))," "),"")</f>
        <v>0</v>
      </c>
      <c r="R283">
        <f t="array" ref="R283">IFERROR(CONCATENATE(TEXT(INDEX($Q$7:$Q$165,SMALL(IF($T$7:$T$165&lt;&gt;"",IF($Q$7:$Q$165&lt;&gt;"",ROW($Q$7:$Q$165)-MIN(ROW($Q$7:$Q$165))+1,""),""),ROW()-ROW(A$167)+1)),"##0")," "),"")</f>
        <v>0</v>
      </c>
      <c r="S283">
        <f t="array" ref="S283">IFERROR(CONCATENATE((INDEX($A$7:$A$165,SMALL(IF($T$7:$T$165&lt;&gt;"",IF($Q$7:$Q$165&lt;&gt;"",ROW($Q$7:$Q$165)-MIN(ROW($Q$7:$Q$165))+1,""),""),ROW()-ROW(A$167)+1))),),"")</f>
        <v>0</v>
      </c>
      <c r="W283">
        <f t="array" ref="W283">IFERROR(CONCATENATE((INDEX($Z$7:$Z$165,SMALL(IF($Z$7:$Z$165&lt;&gt;"",IF($W$7:$W$165&lt;&gt;"",ROW($W$7:$W$165)-MIN(ROW($W$7:$W$165))+1,""),""),ROW()-ROW(A$167)+1))),","),"")</f>
        <v>0</v>
      </c>
      <c r="X283">
        <f t="array" ref="X283">IFERROR(CONCATENATE(TEXT(INDEX($W$7:$W$165,SMALL(IF($Z$7:$Z$165&lt;&gt;"",IF($W$7:$W$165&lt;&gt;"",ROW($W$7:$W$165)-MIN(ROW($W$7:$W$165))+1,""),""),ROW()-ROW(A$167)+1)),"##0"),","),"")</f>
        <v>0</v>
      </c>
      <c r="Y283">
        <f t="array" ref="Y283">IFERROR(CONCATENATE((INDEX($A$7:$A$165,SMALL(IF($Z$7:$Z$165&lt;&gt;"",IF($W$7:$W$165&lt;&gt;"",ROW($W$7:$W$165)-MIN(ROW($W$7:$W$165))+1,""),""),ROW()-ROW(A$167)+1))),),"")</f>
        <v>0</v>
      </c>
    </row>
    <row r="284" spans="11:25">
      <c r="K284">
        <f t="array" ref="K284">IFERROR(CONCATENATE(TEXT(INDEX($K$7:$K$165,SMALL(IF($N$7:$N$165&lt;&gt;"",IF($K$7:$K$165&lt;&gt;"",ROW($K$7:$K$165)-MIN(ROW($K$7:$K$165))+1,""),""),ROW()-ROW(A$167)+1)),"##0"),","),"")</f>
        <v>0</v>
      </c>
      <c r="L284">
        <f t="array" ref="L284">IFERROR(CONCATENATE((INDEX($N$7:$N$165,SMALL(IF($N$7:$N$165&lt;&gt;"",IF($K$7:$K$165&lt;&gt;"",ROW($K$7:$K$165)-MIN(ROW($K$7:$K$165))+1,""),""),ROW()-ROW(A$167)+1))),","),"")</f>
        <v>0</v>
      </c>
      <c r="M284">
        <f t="array" ref="M284">IFERROR(CONCATENATE((INDEX($A$7:$A$165,SMALL(IF($N$7:$N$165&lt;&gt;"",IF($K$7:$K$165&lt;&gt;"",ROW($K$7:$K$165)-MIN(ROW($K$7:$K$165))+1,""),""),ROW()-ROW(A$167)+1))),),"")</f>
        <v>0</v>
      </c>
      <c r="Q284">
        <f t="array" ref="Q284">IFERROR(CONCATENATE((INDEX($T$7:$T$165,SMALL(IF($T$7:$T$165&lt;&gt;"",IF($Q$7:$Q$165&lt;&gt;"",ROW($Q$7:$Q$165)-MIN(ROW($Q$7:$Q$165))+1,""),""),ROW()-ROW(A$167)+1)))," "),"")</f>
        <v>0</v>
      </c>
      <c r="R284">
        <f t="array" ref="R284">IFERROR(CONCATENATE(TEXT(INDEX($Q$7:$Q$165,SMALL(IF($T$7:$T$165&lt;&gt;"",IF($Q$7:$Q$165&lt;&gt;"",ROW($Q$7:$Q$165)-MIN(ROW($Q$7:$Q$165))+1,""),""),ROW()-ROW(A$167)+1)),"##0")," "),"")</f>
        <v>0</v>
      </c>
      <c r="S284">
        <f t="array" ref="S284">IFERROR(CONCATENATE((INDEX($A$7:$A$165,SMALL(IF($T$7:$T$165&lt;&gt;"",IF($Q$7:$Q$165&lt;&gt;"",ROW($Q$7:$Q$165)-MIN(ROW($Q$7:$Q$165))+1,""),""),ROW()-ROW(A$167)+1))),),"")</f>
        <v>0</v>
      </c>
      <c r="W284">
        <f t="array" ref="W284">IFERROR(CONCATENATE((INDEX($Z$7:$Z$165,SMALL(IF($Z$7:$Z$165&lt;&gt;"",IF($W$7:$W$165&lt;&gt;"",ROW($W$7:$W$165)-MIN(ROW($W$7:$W$165))+1,""),""),ROW()-ROW(A$167)+1))),","),"")</f>
        <v>0</v>
      </c>
      <c r="X284">
        <f t="array" ref="X284">IFERROR(CONCATENATE(TEXT(INDEX($W$7:$W$165,SMALL(IF($Z$7:$Z$165&lt;&gt;"",IF($W$7:$W$165&lt;&gt;"",ROW($W$7:$W$165)-MIN(ROW($W$7:$W$165))+1,""),""),ROW()-ROW(A$167)+1)),"##0"),","),"")</f>
        <v>0</v>
      </c>
      <c r="Y284">
        <f t="array" ref="Y284">IFERROR(CONCATENATE((INDEX($A$7:$A$165,SMALL(IF($Z$7:$Z$165&lt;&gt;"",IF($W$7:$W$165&lt;&gt;"",ROW($W$7:$W$165)-MIN(ROW($W$7:$W$165))+1,""),""),ROW()-ROW(A$167)+1))),),"")</f>
        <v>0</v>
      </c>
    </row>
    <row r="285" spans="11:25">
      <c r="K285">
        <f t="array" ref="K285">IFERROR(CONCATENATE(TEXT(INDEX($K$7:$K$165,SMALL(IF($N$7:$N$165&lt;&gt;"",IF($K$7:$K$165&lt;&gt;"",ROW($K$7:$K$165)-MIN(ROW($K$7:$K$165))+1,""),""),ROW()-ROW(A$167)+1)),"##0"),","),"")</f>
        <v>0</v>
      </c>
      <c r="L285">
        <f t="array" ref="L285">IFERROR(CONCATENATE((INDEX($N$7:$N$165,SMALL(IF($N$7:$N$165&lt;&gt;"",IF($K$7:$K$165&lt;&gt;"",ROW($K$7:$K$165)-MIN(ROW($K$7:$K$165))+1,""),""),ROW()-ROW(A$167)+1))),","),"")</f>
        <v>0</v>
      </c>
      <c r="M285">
        <f t="array" ref="M285">IFERROR(CONCATENATE((INDEX($A$7:$A$165,SMALL(IF($N$7:$N$165&lt;&gt;"",IF($K$7:$K$165&lt;&gt;"",ROW($K$7:$K$165)-MIN(ROW($K$7:$K$165))+1,""),""),ROW()-ROW(A$167)+1))),),"")</f>
        <v>0</v>
      </c>
      <c r="Q285">
        <f t="array" ref="Q285">IFERROR(CONCATENATE((INDEX($T$7:$T$165,SMALL(IF($T$7:$T$165&lt;&gt;"",IF($Q$7:$Q$165&lt;&gt;"",ROW($Q$7:$Q$165)-MIN(ROW($Q$7:$Q$165))+1,""),""),ROW()-ROW(A$167)+1)))," "),"")</f>
        <v>0</v>
      </c>
      <c r="R285">
        <f t="array" ref="R285">IFERROR(CONCATENATE(TEXT(INDEX($Q$7:$Q$165,SMALL(IF($T$7:$T$165&lt;&gt;"",IF($Q$7:$Q$165&lt;&gt;"",ROW($Q$7:$Q$165)-MIN(ROW($Q$7:$Q$165))+1,""),""),ROW()-ROW(A$167)+1)),"##0")," "),"")</f>
        <v>0</v>
      </c>
      <c r="S285">
        <f t="array" ref="S285">IFERROR(CONCATENATE((INDEX($A$7:$A$165,SMALL(IF($T$7:$T$165&lt;&gt;"",IF($Q$7:$Q$165&lt;&gt;"",ROW($Q$7:$Q$165)-MIN(ROW($Q$7:$Q$165))+1,""),""),ROW()-ROW(A$167)+1))),),"")</f>
        <v>0</v>
      </c>
      <c r="W285">
        <f t="array" ref="W285">IFERROR(CONCATENATE((INDEX($Z$7:$Z$165,SMALL(IF($Z$7:$Z$165&lt;&gt;"",IF($W$7:$W$165&lt;&gt;"",ROW($W$7:$W$165)-MIN(ROW($W$7:$W$165))+1,""),""),ROW()-ROW(A$167)+1))),","),"")</f>
        <v>0</v>
      </c>
      <c r="X285">
        <f t="array" ref="X285">IFERROR(CONCATENATE(TEXT(INDEX($W$7:$W$165,SMALL(IF($Z$7:$Z$165&lt;&gt;"",IF($W$7:$W$165&lt;&gt;"",ROW($W$7:$W$165)-MIN(ROW($W$7:$W$165))+1,""),""),ROW()-ROW(A$167)+1)),"##0"),","),"")</f>
        <v>0</v>
      </c>
      <c r="Y285">
        <f t="array" ref="Y285">IFERROR(CONCATENATE((INDEX($A$7:$A$165,SMALL(IF($Z$7:$Z$165&lt;&gt;"",IF($W$7:$W$165&lt;&gt;"",ROW($W$7:$W$165)-MIN(ROW($W$7:$W$165))+1,""),""),ROW()-ROW(A$167)+1))),),"")</f>
        <v>0</v>
      </c>
    </row>
    <row r="286" spans="11:25">
      <c r="K286">
        <f t="array" ref="K286">IFERROR(CONCATENATE(TEXT(INDEX($K$7:$K$165,SMALL(IF($N$7:$N$165&lt;&gt;"",IF($K$7:$K$165&lt;&gt;"",ROW($K$7:$K$165)-MIN(ROW($K$7:$K$165))+1,""),""),ROW()-ROW(A$167)+1)),"##0"),","),"")</f>
        <v>0</v>
      </c>
      <c r="L286">
        <f t="array" ref="L286">IFERROR(CONCATENATE((INDEX($N$7:$N$165,SMALL(IF($N$7:$N$165&lt;&gt;"",IF($K$7:$K$165&lt;&gt;"",ROW($K$7:$K$165)-MIN(ROW($K$7:$K$165))+1,""),""),ROW()-ROW(A$167)+1))),","),"")</f>
        <v>0</v>
      </c>
      <c r="M286">
        <f t="array" ref="M286">IFERROR(CONCATENATE((INDEX($A$7:$A$165,SMALL(IF($N$7:$N$165&lt;&gt;"",IF($K$7:$K$165&lt;&gt;"",ROW($K$7:$K$165)-MIN(ROW($K$7:$K$165))+1,""),""),ROW()-ROW(A$167)+1))),),"")</f>
        <v>0</v>
      </c>
      <c r="Q286">
        <f t="array" ref="Q286">IFERROR(CONCATENATE((INDEX($T$7:$T$165,SMALL(IF($T$7:$T$165&lt;&gt;"",IF($Q$7:$Q$165&lt;&gt;"",ROW($Q$7:$Q$165)-MIN(ROW($Q$7:$Q$165))+1,""),""),ROW()-ROW(A$167)+1)))," "),"")</f>
        <v>0</v>
      </c>
      <c r="R286">
        <f t="array" ref="R286">IFERROR(CONCATENATE(TEXT(INDEX($Q$7:$Q$165,SMALL(IF($T$7:$T$165&lt;&gt;"",IF($Q$7:$Q$165&lt;&gt;"",ROW($Q$7:$Q$165)-MIN(ROW($Q$7:$Q$165))+1,""),""),ROW()-ROW(A$167)+1)),"##0")," "),"")</f>
        <v>0</v>
      </c>
      <c r="S286">
        <f t="array" ref="S286">IFERROR(CONCATENATE((INDEX($A$7:$A$165,SMALL(IF($T$7:$T$165&lt;&gt;"",IF($Q$7:$Q$165&lt;&gt;"",ROW($Q$7:$Q$165)-MIN(ROW($Q$7:$Q$165))+1,""),""),ROW()-ROW(A$167)+1))),),"")</f>
        <v>0</v>
      </c>
      <c r="W286">
        <f t="array" ref="W286">IFERROR(CONCATENATE((INDEX($Z$7:$Z$165,SMALL(IF($Z$7:$Z$165&lt;&gt;"",IF($W$7:$W$165&lt;&gt;"",ROW($W$7:$W$165)-MIN(ROW($W$7:$W$165))+1,""),""),ROW()-ROW(A$167)+1))),","),"")</f>
        <v>0</v>
      </c>
      <c r="X286">
        <f t="array" ref="X286">IFERROR(CONCATENATE(TEXT(INDEX($W$7:$W$165,SMALL(IF($Z$7:$Z$165&lt;&gt;"",IF($W$7:$W$165&lt;&gt;"",ROW($W$7:$W$165)-MIN(ROW($W$7:$W$165))+1,""),""),ROW()-ROW(A$167)+1)),"##0"),","),"")</f>
        <v>0</v>
      </c>
      <c r="Y286">
        <f t="array" ref="Y286">IFERROR(CONCATENATE((INDEX($A$7:$A$165,SMALL(IF($Z$7:$Z$165&lt;&gt;"",IF($W$7:$W$165&lt;&gt;"",ROW($W$7:$W$165)-MIN(ROW($W$7:$W$165))+1,""),""),ROW()-ROW(A$167)+1))),),"")</f>
        <v>0</v>
      </c>
    </row>
    <row r="287" spans="11:25">
      <c r="K287">
        <f t="array" ref="K287">IFERROR(CONCATENATE(TEXT(INDEX($K$7:$K$165,SMALL(IF($N$7:$N$165&lt;&gt;"",IF($K$7:$K$165&lt;&gt;"",ROW($K$7:$K$165)-MIN(ROW($K$7:$K$165))+1,""),""),ROW()-ROW(A$167)+1)),"##0"),","),"")</f>
        <v>0</v>
      </c>
      <c r="L287">
        <f t="array" ref="L287">IFERROR(CONCATENATE((INDEX($N$7:$N$165,SMALL(IF($N$7:$N$165&lt;&gt;"",IF($K$7:$K$165&lt;&gt;"",ROW($K$7:$K$165)-MIN(ROW($K$7:$K$165))+1,""),""),ROW()-ROW(A$167)+1))),","),"")</f>
        <v>0</v>
      </c>
      <c r="M287">
        <f t="array" ref="M287">IFERROR(CONCATENATE((INDEX($A$7:$A$165,SMALL(IF($N$7:$N$165&lt;&gt;"",IF($K$7:$K$165&lt;&gt;"",ROW($K$7:$K$165)-MIN(ROW($K$7:$K$165))+1,""),""),ROW()-ROW(A$167)+1))),),"")</f>
        <v>0</v>
      </c>
      <c r="Q287">
        <f t="array" ref="Q287">IFERROR(CONCATENATE((INDEX($T$7:$T$165,SMALL(IF($T$7:$T$165&lt;&gt;"",IF($Q$7:$Q$165&lt;&gt;"",ROW($Q$7:$Q$165)-MIN(ROW($Q$7:$Q$165))+1,""),""),ROW()-ROW(A$167)+1)))," "),"")</f>
        <v>0</v>
      </c>
      <c r="R287">
        <f t="array" ref="R287">IFERROR(CONCATENATE(TEXT(INDEX($Q$7:$Q$165,SMALL(IF($T$7:$T$165&lt;&gt;"",IF($Q$7:$Q$165&lt;&gt;"",ROW($Q$7:$Q$165)-MIN(ROW($Q$7:$Q$165))+1,""),""),ROW()-ROW(A$167)+1)),"##0")," "),"")</f>
        <v>0</v>
      </c>
      <c r="S287">
        <f t="array" ref="S287">IFERROR(CONCATENATE((INDEX($A$7:$A$165,SMALL(IF($T$7:$T$165&lt;&gt;"",IF($Q$7:$Q$165&lt;&gt;"",ROW($Q$7:$Q$165)-MIN(ROW($Q$7:$Q$165))+1,""),""),ROW()-ROW(A$167)+1))),),"")</f>
        <v>0</v>
      </c>
      <c r="W287">
        <f t="array" ref="W287">IFERROR(CONCATENATE((INDEX($Z$7:$Z$165,SMALL(IF($Z$7:$Z$165&lt;&gt;"",IF($W$7:$W$165&lt;&gt;"",ROW($W$7:$W$165)-MIN(ROW($W$7:$W$165))+1,""),""),ROW()-ROW(A$167)+1))),","),"")</f>
        <v>0</v>
      </c>
      <c r="X287">
        <f t="array" ref="X287">IFERROR(CONCATENATE(TEXT(INDEX($W$7:$W$165,SMALL(IF($Z$7:$Z$165&lt;&gt;"",IF($W$7:$W$165&lt;&gt;"",ROW($W$7:$W$165)-MIN(ROW($W$7:$W$165))+1,""),""),ROW()-ROW(A$167)+1)),"##0"),","),"")</f>
        <v>0</v>
      </c>
      <c r="Y287">
        <f t="array" ref="Y287">IFERROR(CONCATENATE((INDEX($A$7:$A$165,SMALL(IF($Z$7:$Z$165&lt;&gt;"",IF($W$7:$W$165&lt;&gt;"",ROW($W$7:$W$165)-MIN(ROW($W$7:$W$165))+1,""),""),ROW()-ROW(A$167)+1))),),"")</f>
        <v>0</v>
      </c>
    </row>
    <row r="288" spans="11:25">
      <c r="K288">
        <f t="array" ref="K288">IFERROR(CONCATENATE(TEXT(INDEX($K$7:$K$165,SMALL(IF($N$7:$N$165&lt;&gt;"",IF($K$7:$K$165&lt;&gt;"",ROW($K$7:$K$165)-MIN(ROW($K$7:$K$165))+1,""),""),ROW()-ROW(A$167)+1)),"##0"),","),"")</f>
        <v>0</v>
      </c>
      <c r="L288">
        <f t="array" ref="L288">IFERROR(CONCATENATE((INDEX($N$7:$N$165,SMALL(IF($N$7:$N$165&lt;&gt;"",IF($K$7:$K$165&lt;&gt;"",ROW($K$7:$K$165)-MIN(ROW($K$7:$K$165))+1,""),""),ROW()-ROW(A$167)+1))),","),"")</f>
        <v>0</v>
      </c>
      <c r="M288">
        <f t="array" ref="M288">IFERROR(CONCATENATE((INDEX($A$7:$A$165,SMALL(IF($N$7:$N$165&lt;&gt;"",IF($K$7:$K$165&lt;&gt;"",ROW($K$7:$K$165)-MIN(ROW($K$7:$K$165))+1,""),""),ROW()-ROW(A$167)+1))),),"")</f>
        <v>0</v>
      </c>
      <c r="Q288">
        <f t="array" ref="Q288">IFERROR(CONCATENATE((INDEX($T$7:$T$165,SMALL(IF($T$7:$T$165&lt;&gt;"",IF($Q$7:$Q$165&lt;&gt;"",ROW($Q$7:$Q$165)-MIN(ROW($Q$7:$Q$165))+1,""),""),ROW()-ROW(A$167)+1)))," "),"")</f>
        <v>0</v>
      </c>
      <c r="R288">
        <f t="array" ref="R288">IFERROR(CONCATENATE(TEXT(INDEX($Q$7:$Q$165,SMALL(IF($T$7:$T$165&lt;&gt;"",IF($Q$7:$Q$165&lt;&gt;"",ROW($Q$7:$Q$165)-MIN(ROW($Q$7:$Q$165))+1,""),""),ROW()-ROW(A$167)+1)),"##0")," "),"")</f>
        <v>0</v>
      </c>
      <c r="S288">
        <f t="array" ref="S288">IFERROR(CONCATENATE((INDEX($A$7:$A$165,SMALL(IF($T$7:$T$165&lt;&gt;"",IF($Q$7:$Q$165&lt;&gt;"",ROW($Q$7:$Q$165)-MIN(ROW($Q$7:$Q$165))+1,""),""),ROW()-ROW(A$167)+1))),),"")</f>
        <v>0</v>
      </c>
      <c r="W288">
        <f t="array" ref="W288">IFERROR(CONCATENATE((INDEX($Z$7:$Z$165,SMALL(IF($Z$7:$Z$165&lt;&gt;"",IF($W$7:$W$165&lt;&gt;"",ROW($W$7:$W$165)-MIN(ROW($W$7:$W$165))+1,""),""),ROW()-ROW(A$167)+1))),","),"")</f>
        <v>0</v>
      </c>
      <c r="X288">
        <f t="array" ref="X288">IFERROR(CONCATENATE(TEXT(INDEX($W$7:$W$165,SMALL(IF($Z$7:$Z$165&lt;&gt;"",IF($W$7:$W$165&lt;&gt;"",ROW($W$7:$W$165)-MIN(ROW($W$7:$W$165))+1,""),""),ROW()-ROW(A$167)+1)),"##0"),","),"")</f>
        <v>0</v>
      </c>
      <c r="Y288">
        <f t="array" ref="Y288">IFERROR(CONCATENATE((INDEX($A$7:$A$165,SMALL(IF($Z$7:$Z$165&lt;&gt;"",IF($W$7:$W$165&lt;&gt;"",ROW($W$7:$W$165)-MIN(ROW($W$7:$W$165))+1,""),""),ROW()-ROW(A$167)+1))),),"")</f>
        <v>0</v>
      </c>
    </row>
    <row r="289" spans="11:25">
      <c r="K289">
        <f t="array" ref="K289">IFERROR(CONCATENATE(TEXT(INDEX($K$7:$K$165,SMALL(IF($N$7:$N$165&lt;&gt;"",IF($K$7:$K$165&lt;&gt;"",ROW($K$7:$K$165)-MIN(ROW($K$7:$K$165))+1,""),""),ROW()-ROW(A$167)+1)),"##0"),","),"")</f>
        <v>0</v>
      </c>
      <c r="L289">
        <f t="array" ref="L289">IFERROR(CONCATENATE((INDEX($N$7:$N$165,SMALL(IF($N$7:$N$165&lt;&gt;"",IF($K$7:$K$165&lt;&gt;"",ROW($K$7:$K$165)-MIN(ROW($K$7:$K$165))+1,""),""),ROW()-ROW(A$167)+1))),","),"")</f>
        <v>0</v>
      </c>
      <c r="M289">
        <f t="array" ref="M289">IFERROR(CONCATENATE((INDEX($A$7:$A$165,SMALL(IF($N$7:$N$165&lt;&gt;"",IF($K$7:$K$165&lt;&gt;"",ROW($K$7:$K$165)-MIN(ROW($K$7:$K$165))+1,""),""),ROW()-ROW(A$167)+1))),),"")</f>
        <v>0</v>
      </c>
      <c r="Q289">
        <f t="array" ref="Q289">IFERROR(CONCATENATE((INDEX($T$7:$T$165,SMALL(IF($T$7:$T$165&lt;&gt;"",IF($Q$7:$Q$165&lt;&gt;"",ROW($Q$7:$Q$165)-MIN(ROW($Q$7:$Q$165))+1,""),""),ROW()-ROW(A$167)+1)))," "),"")</f>
        <v>0</v>
      </c>
      <c r="R289">
        <f t="array" ref="R289">IFERROR(CONCATENATE(TEXT(INDEX($Q$7:$Q$165,SMALL(IF($T$7:$T$165&lt;&gt;"",IF($Q$7:$Q$165&lt;&gt;"",ROW($Q$7:$Q$165)-MIN(ROW($Q$7:$Q$165))+1,""),""),ROW()-ROW(A$167)+1)),"##0")," "),"")</f>
        <v>0</v>
      </c>
      <c r="S289">
        <f t="array" ref="S289">IFERROR(CONCATENATE((INDEX($A$7:$A$165,SMALL(IF($T$7:$T$165&lt;&gt;"",IF($Q$7:$Q$165&lt;&gt;"",ROW($Q$7:$Q$165)-MIN(ROW($Q$7:$Q$165))+1,""),""),ROW()-ROW(A$167)+1))),),"")</f>
        <v>0</v>
      </c>
      <c r="W289">
        <f t="array" ref="W289">IFERROR(CONCATENATE((INDEX($Z$7:$Z$165,SMALL(IF($Z$7:$Z$165&lt;&gt;"",IF($W$7:$W$165&lt;&gt;"",ROW($W$7:$W$165)-MIN(ROW($W$7:$W$165))+1,""),""),ROW()-ROW(A$167)+1))),","),"")</f>
        <v>0</v>
      </c>
      <c r="X289">
        <f t="array" ref="X289">IFERROR(CONCATENATE(TEXT(INDEX($W$7:$W$165,SMALL(IF($Z$7:$Z$165&lt;&gt;"",IF($W$7:$W$165&lt;&gt;"",ROW($W$7:$W$165)-MIN(ROW($W$7:$W$165))+1,""),""),ROW()-ROW(A$167)+1)),"##0"),","),"")</f>
        <v>0</v>
      </c>
      <c r="Y289">
        <f t="array" ref="Y289">IFERROR(CONCATENATE((INDEX($A$7:$A$165,SMALL(IF($Z$7:$Z$165&lt;&gt;"",IF($W$7:$W$165&lt;&gt;"",ROW($W$7:$W$165)-MIN(ROW($W$7:$W$165))+1,""),""),ROW()-ROW(A$167)+1))),),"")</f>
        <v>0</v>
      </c>
    </row>
    <row r="290" spans="11:25">
      <c r="K290">
        <f t="array" ref="K290">IFERROR(CONCATENATE(TEXT(INDEX($K$7:$K$165,SMALL(IF($N$7:$N$165&lt;&gt;"",IF($K$7:$K$165&lt;&gt;"",ROW($K$7:$K$165)-MIN(ROW($K$7:$K$165))+1,""),""),ROW()-ROW(A$167)+1)),"##0"),","),"")</f>
        <v>0</v>
      </c>
      <c r="L290">
        <f t="array" ref="L290">IFERROR(CONCATENATE((INDEX($N$7:$N$165,SMALL(IF($N$7:$N$165&lt;&gt;"",IF($K$7:$K$165&lt;&gt;"",ROW($K$7:$K$165)-MIN(ROW($K$7:$K$165))+1,""),""),ROW()-ROW(A$167)+1))),","),"")</f>
        <v>0</v>
      </c>
      <c r="M290">
        <f t="array" ref="M290">IFERROR(CONCATENATE((INDEX($A$7:$A$165,SMALL(IF($N$7:$N$165&lt;&gt;"",IF($K$7:$K$165&lt;&gt;"",ROW($K$7:$K$165)-MIN(ROW($K$7:$K$165))+1,""),""),ROW()-ROW(A$167)+1))),),"")</f>
        <v>0</v>
      </c>
      <c r="Q290">
        <f t="array" ref="Q290">IFERROR(CONCATENATE((INDEX($T$7:$T$165,SMALL(IF($T$7:$T$165&lt;&gt;"",IF($Q$7:$Q$165&lt;&gt;"",ROW($Q$7:$Q$165)-MIN(ROW($Q$7:$Q$165))+1,""),""),ROW()-ROW(A$167)+1)))," "),"")</f>
        <v>0</v>
      </c>
      <c r="R290">
        <f t="array" ref="R290">IFERROR(CONCATENATE(TEXT(INDEX($Q$7:$Q$165,SMALL(IF($T$7:$T$165&lt;&gt;"",IF($Q$7:$Q$165&lt;&gt;"",ROW($Q$7:$Q$165)-MIN(ROW($Q$7:$Q$165))+1,""),""),ROW()-ROW(A$167)+1)),"##0")," "),"")</f>
        <v>0</v>
      </c>
      <c r="S290">
        <f t="array" ref="S290">IFERROR(CONCATENATE((INDEX($A$7:$A$165,SMALL(IF($T$7:$T$165&lt;&gt;"",IF($Q$7:$Q$165&lt;&gt;"",ROW($Q$7:$Q$165)-MIN(ROW($Q$7:$Q$165))+1,""),""),ROW()-ROW(A$167)+1))),),"")</f>
        <v>0</v>
      </c>
      <c r="W290">
        <f t="array" ref="W290">IFERROR(CONCATENATE((INDEX($Z$7:$Z$165,SMALL(IF($Z$7:$Z$165&lt;&gt;"",IF($W$7:$W$165&lt;&gt;"",ROW($W$7:$W$165)-MIN(ROW($W$7:$W$165))+1,""),""),ROW()-ROW(A$167)+1))),","),"")</f>
        <v>0</v>
      </c>
      <c r="X290">
        <f t="array" ref="X290">IFERROR(CONCATENATE(TEXT(INDEX($W$7:$W$165,SMALL(IF($Z$7:$Z$165&lt;&gt;"",IF($W$7:$W$165&lt;&gt;"",ROW($W$7:$W$165)-MIN(ROW($W$7:$W$165))+1,""),""),ROW()-ROW(A$167)+1)),"##0"),","),"")</f>
        <v>0</v>
      </c>
      <c r="Y290">
        <f t="array" ref="Y290">IFERROR(CONCATENATE((INDEX($A$7:$A$165,SMALL(IF($Z$7:$Z$165&lt;&gt;"",IF($W$7:$W$165&lt;&gt;"",ROW($W$7:$W$165)-MIN(ROW($W$7:$W$165))+1,""),""),ROW()-ROW(A$167)+1))),),"")</f>
        <v>0</v>
      </c>
    </row>
    <row r="291" spans="11:25">
      <c r="K291">
        <f t="array" ref="K291">IFERROR(CONCATENATE(TEXT(INDEX($K$7:$K$165,SMALL(IF($N$7:$N$165&lt;&gt;"",IF($K$7:$K$165&lt;&gt;"",ROW($K$7:$K$165)-MIN(ROW($K$7:$K$165))+1,""),""),ROW()-ROW(A$167)+1)),"##0"),","),"")</f>
        <v>0</v>
      </c>
      <c r="L291">
        <f t="array" ref="L291">IFERROR(CONCATENATE((INDEX($N$7:$N$165,SMALL(IF($N$7:$N$165&lt;&gt;"",IF($K$7:$K$165&lt;&gt;"",ROW($K$7:$K$165)-MIN(ROW($K$7:$K$165))+1,""),""),ROW()-ROW(A$167)+1))),","),"")</f>
        <v>0</v>
      </c>
      <c r="M291">
        <f t="array" ref="M291">IFERROR(CONCATENATE((INDEX($A$7:$A$165,SMALL(IF($N$7:$N$165&lt;&gt;"",IF($K$7:$K$165&lt;&gt;"",ROW($K$7:$K$165)-MIN(ROW($K$7:$K$165))+1,""),""),ROW()-ROW(A$167)+1))),),"")</f>
        <v>0</v>
      </c>
      <c r="Q291">
        <f t="array" ref="Q291">IFERROR(CONCATENATE((INDEX($T$7:$T$165,SMALL(IF($T$7:$T$165&lt;&gt;"",IF($Q$7:$Q$165&lt;&gt;"",ROW($Q$7:$Q$165)-MIN(ROW($Q$7:$Q$165))+1,""),""),ROW()-ROW(A$167)+1)))," "),"")</f>
        <v>0</v>
      </c>
      <c r="R291">
        <f t="array" ref="R291">IFERROR(CONCATENATE(TEXT(INDEX($Q$7:$Q$165,SMALL(IF($T$7:$T$165&lt;&gt;"",IF($Q$7:$Q$165&lt;&gt;"",ROW($Q$7:$Q$165)-MIN(ROW($Q$7:$Q$165))+1,""),""),ROW()-ROW(A$167)+1)),"##0")," "),"")</f>
        <v>0</v>
      </c>
      <c r="S291">
        <f t="array" ref="S291">IFERROR(CONCATENATE((INDEX($A$7:$A$165,SMALL(IF($T$7:$T$165&lt;&gt;"",IF($Q$7:$Q$165&lt;&gt;"",ROW($Q$7:$Q$165)-MIN(ROW($Q$7:$Q$165))+1,""),""),ROW()-ROW(A$167)+1))),),"")</f>
        <v>0</v>
      </c>
      <c r="W291">
        <f t="array" ref="W291">IFERROR(CONCATENATE((INDEX($Z$7:$Z$165,SMALL(IF($Z$7:$Z$165&lt;&gt;"",IF($W$7:$W$165&lt;&gt;"",ROW($W$7:$W$165)-MIN(ROW($W$7:$W$165))+1,""),""),ROW()-ROW(A$167)+1))),","),"")</f>
        <v>0</v>
      </c>
      <c r="X291">
        <f t="array" ref="X291">IFERROR(CONCATENATE(TEXT(INDEX($W$7:$W$165,SMALL(IF($Z$7:$Z$165&lt;&gt;"",IF($W$7:$W$165&lt;&gt;"",ROW($W$7:$W$165)-MIN(ROW($W$7:$W$165))+1,""),""),ROW()-ROW(A$167)+1)),"##0"),","),"")</f>
        <v>0</v>
      </c>
      <c r="Y291">
        <f t="array" ref="Y291">IFERROR(CONCATENATE((INDEX($A$7:$A$165,SMALL(IF($Z$7:$Z$165&lt;&gt;"",IF($W$7:$W$165&lt;&gt;"",ROW($W$7:$W$165)-MIN(ROW($W$7:$W$165))+1,""),""),ROW()-ROW(A$167)+1))),),"")</f>
        <v>0</v>
      </c>
    </row>
    <row r="292" spans="11:25">
      <c r="K292">
        <f t="array" ref="K292">IFERROR(CONCATENATE(TEXT(INDEX($K$7:$K$165,SMALL(IF($N$7:$N$165&lt;&gt;"",IF($K$7:$K$165&lt;&gt;"",ROW($K$7:$K$165)-MIN(ROW($K$7:$K$165))+1,""),""),ROW()-ROW(A$167)+1)),"##0"),","),"")</f>
        <v>0</v>
      </c>
      <c r="L292">
        <f t="array" ref="L292">IFERROR(CONCATENATE((INDEX($N$7:$N$165,SMALL(IF($N$7:$N$165&lt;&gt;"",IF($K$7:$K$165&lt;&gt;"",ROW($K$7:$K$165)-MIN(ROW($K$7:$K$165))+1,""),""),ROW()-ROW(A$167)+1))),","),"")</f>
        <v>0</v>
      </c>
      <c r="M292">
        <f t="array" ref="M292">IFERROR(CONCATENATE((INDEX($A$7:$A$165,SMALL(IF($N$7:$N$165&lt;&gt;"",IF($K$7:$K$165&lt;&gt;"",ROW($K$7:$K$165)-MIN(ROW($K$7:$K$165))+1,""),""),ROW()-ROW(A$167)+1))),),"")</f>
        <v>0</v>
      </c>
      <c r="Q292">
        <f t="array" ref="Q292">IFERROR(CONCATENATE((INDEX($T$7:$T$165,SMALL(IF($T$7:$T$165&lt;&gt;"",IF($Q$7:$Q$165&lt;&gt;"",ROW($Q$7:$Q$165)-MIN(ROW($Q$7:$Q$165))+1,""),""),ROW()-ROW(A$167)+1)))," "),"")</f>
        <v>0</v>
      </c>
      <c r="R292">
        <f t="array" ref="R292">IFERROR(CONCATENATE(TEXT(INDEX($Q$7:$Q$165,SMALL(IF($T$7:$T$165&lt;&gt;"",IF($Q$7:$Q$165&lt;&gt;"",ROW($Q$7:$Q$165)-MIN(ROW($Q$7:$Q$165))+1,""),""),ROW()-ROW(A$167)+1)),"##0")," "),"")</f>
        <v>0</v>
      </c>
      <c r="S292">
        <f t="array" ref="S292">IFERROR(CONCATENATE((INDEX($A$7:$A$165,SMALL(IF($T$7:$T$165&lt;&gt;"",IF($Q$7:$Q$165&lt;&gt;"",ROW($Q$7:$Q$165)-MIN(ROW($Q$7:$Q$165))+1,""),""),ROW()-ROW(A$167)+1))),),"")</f>
        <v>0</v>
      </c>
      <c r="W292">
        <f t="array" ref="W292">IFERROR(CONCATENATE((INDEX($Z$7:$Z$165,SMALL(IF($Z$7:$Z$165&lt;&gt;"",IF($W$7:$W$165&lt;&gt;"",ROW($W$7:$W$165)-MIN(ROW($W$7:$W$165))+1,""),""),ROW()-ROW(A$167)+1))),","),"")</f>
        <v>0</v>
      </c>
      <c r="X292">
        <f t="array" ref="X292">IFERROR(CONCATENATE(TEXT(INDEX($W$7:$W$165,SMALL(IF($Z$7:$Z$165&lt;&gt;"",IF($W$7:$W$165&lt;&gt;"",ROW($W$7:$W$165)-MIN(ROW($W$7:$W$165))+1,""),""),ROW()-ROW(A$167)+1)),"##0"),","),"")</f>
        <v>0</v>
      </c>
      <c r="Y292">
        <f t="array" ref="Y292">IFERROR(CONCATENATE((INDEX($A$7:$A$165,SMALL(IF($Z$7:$Z$165&lt;&gt;"",IF($W$7:$W$165&lt;&gt;"",ROW($W$7:$W$165)-MIN(ROW($W$7:$W$165))+1,""),""),ROW()-ROW(A$167)+1))),),"")</f>
        <v>0</v>
      </c>
    </row>
    <row r="293" spans="11:25">
      <c r="K293">
        <f t="array" ref="K293">IFERROR(CONCATENATE(TEXT(INDEX($K$7:$K$165,SMALL(IF($N$7:$N$165&lt;&gt;"",IF($K$7:$K$165&lt;&gt;"",ROW($K$7:$K$165)-MIN(ROW($K$7:$K$165))+1,""),""),ROW()-ROW(A$167)+1)),"##0"),","),"")</f>
        <v>0</v>
      </c>
      <c r="L293">
        <f t="array" ref="L293">IFERROR(CONCATENATE((INDEX($N$7:$N$165,SMALL(IF($N$7:$N$165&lt;&gt;"",IF($K$7:$K$165&lt;&gt;"",ROW($K$7:$K$165)-MIN(ROW($K$7:$K$165))+1,""),""),ROW()-ROW(A$167)+1))),","),"")</f>
        <v>0</v>
      </c>
      <c r="M293">
        <f t="array" ref="M293">IFERROR(CONCATENATE((INDEX($A$7:$A$165,SMALL(IF($N$7:$N$165&lt;&gt;"",IF($K$7:$K$165&lt;&gt;"",ROW($K$7:$K$165)-MIN(ROW($K$7:$K$165))+1,""),""),ROW()-ROW(A$167)+1))),),"")</f>
        <v>0</v>
      </c>
      <c r="Q293">
        <f t="array" ref="Q293">IFERROR(CONCATENATE((INDEX($T$7:$T$165,SMALL(IF($T$7:$T$165&lt;&gt;"",IF($Q$7:$Q$165&lt;&gt;"",ROW($Q$7:$Q$165)-MIN(ROW($Q$7:$Q$165))+1,""),""),ROW()-ROW(A$167)+1)))," "),"")</f>
        <v>0</v>
      </c>
      <c r="R293">
        <f t="array" ref="R293">IFERROR(CONCATENATE(TEXT(INDEX($Q$7:$Q$165,SMALL(IF($T$7:$T$165&lt;&gt;"",IF($Q$7:$Q$165&lt;&gt;"",ROW($Q$7:$Q$165)-MIN(ROW($Q$7:$Q$165))+1,""),""),ROW()-ROW(A$167)+1)),"##0")," "),"")</f>
        <v>0</v>
      </c>
      <c r="S293">
        <f t="array" ref="S293">IFERROR(CONCATENATE((INDEX($A$7:$A$165,SMALL(IF($T$7:$T$165&lt;&gt;"",IF($Q$7:$Q$165&lt;&gt;"",ROW($Q$7:$Q$165)-MIN(ROW($Q$7:$Q$165))+1,""),""),ROW()-ROW(A$167)+1))),),"")</f>
        <v>0</v>
      </c>
      <c r="W293">
        <f t="array" ref="W293">IFERROR(CONCATENATE((INDEX($Z$7:$Z$165,SMALL(IF($Z$7:$Z$165&lt;&gt;"",IF($W$7:$W$165&lt;&gt;"",ROW($W$7:$W$165)-MIN(ROW($W$7:$W$165))+1,""),""),ROW()-ROW(A$167)+1))),","),"")</f>
        <v>0</v>
      </c>
      <c r="X293">
        <f t="array" ref="X293">IFERROR(CONCATENATE(TEXT(INDEX($W$7:$W$165,SMALL(IF($Z$7:$Z$165&lt;&gt;"",IF($W$7:$W$165&lt;&gt;"",ROW($W$7:$W$165)-MIN(ROW($W$7:$W$165))+1,""),""),ROW()-ROW(A$167)+1)),"##0"),","),"")</f>
        <v>0</v>
      </c>
      <c r="Y293">
        <f t="array" ref="Y293">IFERROR(CONCATENATE((INDEX($A$7:$A$165,SMALL(IF($Z$7:$Z$165&lt;&gt;"",IF($W$7:$W$165&lt;&gt;"",ROW($W$7:$W$165)-MIN(ROW($W$7:$W$165))+1,""),""),ROW()-ROW(A$167)+1))),),"")</f>
        <v>0</v>
      </c>
    </row>
    <row r="294" spans="11:25">
      <c r="K294">
        <f t="array" ref="K294">IFERROR(CONCATENATE(TEXT(INDEX($K$7:$K$165,SMALL(IF($N$7:$N$165&lt;&gt;"",IF($K$7:$K$165&lt;&gt;"",ROW($K$7:$K$165)-MIN(ROW($K$7:$K$165))+1,""),""),ROW()-ROW(A$167)+1)),"##0"),","),"")</f>
        <v>0</v>
      </c>
      <c r="L294">
        <f t="array" ref="L294">IFERROR(CONCATENATE((INDEX($N$7:$N$165,SMALL(IF($N$7:$N$165&lt;&gt;"",IF($K$7:$K$165&lt;&gt;"",ROW($K$7:$K$165)-MIN(ROW($K$7:$K$165))+1,""),""),ROW()-ROW(A$167)+1))),","),"")</f>
        <v>0</v>
      </c>
      <c r="M294">
        <f t="array" ref="M294">IFERROR(CONCATENATE((INDEX($A$7:$A$165,SMALL(IF($N$7:$N$165&lt;&gt;"",IF($K$7:$K$165&lt;&gt;"",ROW($K$7:$K$165)-MIN(ROW($K$7:$K$165))+1,""),""),ROW()-ROW(A$167)+1))),),"")</f>
        <v>0</v>
      </c>
      <c r="Q294">
        <f t="array" ref="Q294">IFERROR(CONCATENATE((INDEX($T$7:$T$165,SMALL(IF($T$7:$T$165&lt;&gt;"",IF($Q$7:$Q$165&lt;&gt;"",ROW($Q$7:$Q$165)-MIN(ROW($Q$7:$Q$165))+1,""),""),ROW()-ROW(A$167)+1)))," "),"")</f>
        <v>0</v>
      </c>
      <c r="R294">
        <f t="array" ref="R294">IFERROR(CONCATENATE(TEXT(INDEX($Q$7:$Q$165,SMALL(IF($T$7:$T$165&lt;&gt;"",IF($Q$7:$Q$165&lt;&gt;"",ROW($Q$7:$Q$165)-MIN(ROW($Q$7:$Q$165))+1,""),""),ROW()-ROW(A$167)+1)),"##0")," "),"")</f>
        <v>0</v>
      </c>
      <c r="S294">
        <f t="array" ref="S294">IFERROR(CONCATENATE((INDEX($A$7:$A$165,SMALL(IF($T$7:$T$165&lt;&gt;"",IF($Q$7:$Q$165&lt;&gt;"",ROW($Q$7:$Q$165)-MIN(ROW($Q$7:$Q$165))+1,""),""),ROW()-ROW(A$167)+1))),),"")</f>
        <v>0</v>
      </c>
      <c r="W294">
        <f t="array" ref="W294">IFERROR(CONCATENATE((INDEX($Z$7:$Z$165,SMALL(IF($Z$7:$Z$165&lt;&gt;"",IF($W$7:$W$165&lt;&gt;"",ROW($W$7:$W$165)-MIN(ROW($W$7:$W$165))+1,""),""),ROW()-ROW(A$167)+1))),","),"")</f>
        <v>0</v>
      </c>
      <c r="X294">
        <f t="array" ref="X294">IFERROR(CONCATENATE(TEXT(INDEX($W$7:$W$165,SMALL(IF($Z$7:$Z$165&lt;&gt;"",IF($W$7:$W$165&lt;&gt;"",ROW($W$7:$W$165)-MIN(ROW($W$7:$W$165))+1,""),""),ROW()-ROW(A$167)+1)),"##0"),","),"")</f>
        <v>0</v>
      </c>
      <c r="Y294">
        <f t="array" ref="Y294">IFERROR(CONCATENATE((INDEX($A$7:$A$165,SMALL(IF($Z$7:$Z$165&lt;&gt;"",IF($W$7:$W$165&lt;&gt;"",ROW($W$7:$W$165)-MIN(ROW($W$7:$W$165))+1,""),""),ROW()-ROW(A$167)+1))),),"")</f>
        <v>0</v>
      </c>
    </row>
    <row r="295" spans="11:25">
      <c r="K295">
        <f t="array" ref="K295">IFERROR(CONCATENATE(TEXT(INDEX($K$7:$K$165,SMALL(IF($N$7:$N$165&lt;&gt;"",IF($K$7:$K$165&lt;&gt;"",ROW($K$7:$K$165)-MIN(ROW($K$7:$K$165))+1,""),""),ROW()-ROW(A$167)+1)),"##0"),","),"")</f>
        <v>0</v>
      </c>
      <c r="L295">
        <f t="array" ref="L295">IFERROR(CONCATENATE((INDEX($N$7:$N$165,SMALL(IF($N$7:$N$165&lt;&gt;"",IF($K$7:$K$165&lt;&gt;"",ROW($K$7:$K$165)-MIN(ROW($K$7:$K$165))+1,""),""),ROW()-ROW(A$167)+1))),","),"")</f>
        <v>0</v>
      </c>
      <c r="M295">
        <f t="array" ref="M295">IFERROR(CONCATENATE((INDEX($A$7:$A$165,SMALL(IF($N$7:$N$165&lt;&gt;"",IF($K$7:$K$165&lt;&gt;"",ROW($K$7:$K$165)-MIN(ROW($K$7:$K$165))+1,""),""),ROW()-ROW(A$167)+1))),),"")</f>
        <v>0</v>
      </c>
      <c r="Q295">
        <f t="array" ref="Q295">IFERROR(CONCATENATE((INDEX($T$7:$T$165,SMALL(IF($T$7:$T$165&lt;&gt;"",IF($Q$7:$Q$165&lt;&gt;"",ROW($Q$7:$Q$165)-MIN(ROW($Q$7:$Q$165))+1,""),""),ROW()-ROW(A$167)+1)))," "),"")</f>
        <v>0</v>
      </c>
      <c r="R295">
        <f t="array" ref="R295">IFERROR(CONCATENATE(TEXT(INDEX($Q$7:$Q$165,SMALL(IF($T$7:$T$165&lt;&gt;"",IF($Q$7:$Q$165&lt;&gt;"",ROW($Q$7:$Q$165)-MIN(ROW($Q$7:$Q$165))+1,""),""),ROW()-ROW(A$167)+1)),"##0")," "),"")</f>
        <v>0</v>
      </c>
      <c r="S295">
        <f t="array" ref="S295">IFERROR(CONCATENATE((INDEX($A$7:$A$165,SMALL(IF($T$7:$T$165&lt;&gt;"",IF($Q$7:$Q$165&lt;&gt;"",ROW($Q$7:$Q$165)-MIN(ROW($Q$7:$Q$165))+1,""),""),ROW()-ROW(A$167)+1))),),"")</f>
        <v>0</v>
      </c>
      <c r="W295">
        <f t="array" ref="W295">IFERROR(CONCATENATE((INDEX($Z$7:$Z$165,SMALL(IF($Z$7:$Z$165&lt;&gt;"",IF($W$7:$W$165&lt;&gt;"",ROW($W$7:$W$165)-MIN(ROW($W$7:$W$165))+1,""),""),ROW()-ROW(A$167)+1))),","),"")</f>
        <v>0</v>
      </c>
      <c r="X295">
        <f t="array" ref="X295">IFERROR(CONCATENATE(TEXT(INDEX($W$7:$W$165,SMALL(IF($Z$7:$Z$165&lt;&gt;"",IF($W$7:$W$165&lt;&gt;"",ROW($W$7:$W$165)-MIN(ROW($W$7:$W$165))+1,""),""),ROW()-ROW(A$167)+1)),"##0"),","),"")</f>
        <v>0</v>
      </c>
      <c r="Y295">
        <f t="array" ref="Y295">IFERROR(CONCATENATE((INDEX($A$7:$A$165,SMALL(IF($Z$7:$Z$165&lt;&gt;"",IF($W$7:$W$165&lt;&gt;"",ROW($W$7:$W$165)-MIN(ROW($W$7:$W$165))+1,""),""),ROW()-ROW(A$167)+1))),),"")</f>
        <v>0</v>
      </c>
    </row>
    <row r="296" spans="11:25">
      <c r="K296">
        <f t="array" ref="K296">IFERROR(CONCATENATE(TEXT(INDEX($K$7:$K$165,SMALL(IF($N$7:$N$165&lt;&gt;"",IF($K$7:$K$165&lt;&gt;"",ROW($K$7:$K$165)-MIN(ROW($K$7:$K$165))+1,""),""),ROW()-ROW(A$167)+1)),"##0"),","),"")</f>
        <v>0</v>
      </c>
      <c r="L296">
        <f t="array" ref="L296">IFERROR(CONCATENATE((INDEX($N$7:$N$165,SMALL(IF($N$7:$N$165&lt;&gt;"",IF($K$7:$K$165&lt;&gt;"",ROW($K$7:$K$165)-MIN(ROW($K$7:$K$165))+1,""),""),ROW()-ROW(A$167)+1))),","),"")</f>
        <v>0</v>
      </c>
      <c r="M296">
        <f t="array" ref="M296">IFERROR(CONCATENATE((INDEX($A$7:$A$165,SMALL(IF($N$7:$N$165&lt;&gt;"",IF($K$7:$K$165&lt;&gt;"",ROW($K$7:$K$165)-MIN(ROW($K$7:$K$165))+1,""),""),ROW()-ROW(A$167)+1))),),"")</f>
        <v>0</v>
      </c>
      <c r="Q296">
        <f t="array" ref="Q296">IFERROR(CONCATENATE((INDEX($T$7:$T$165,SMALL(IF($T$7:$T$165&lt;&gt;"",IF($Q$7:$Q$165&lt;&gt;"",ROW($Q$7:$Q$165)-MIN(ROW($Q$7:$Q$165))+1,""),""),ROW()-ROW(A$167)+1)))," "),"")</f>
        <v>0</v>
      </c>
      <c r="R296">
        <f t="array" ref="R296">IFERROR(CONCATENATE(TEXT(INDEX($Q$7:$Q$165,SMALL(IF($T$7:$T$165&lt;&gt;"",IF($Q$7:$Q$165&lt;&gt;"",ROW($Q$7:$Q$165)-MIN(ROW($Q$7:$Q$165))+1,""),""),ROW()-ROW(A$167)+1)),"##0")," "),"")</f>
        <v>0</v>
      </c>
      <c r="S296">
        <f t="array" ref="S296">IFERROR(CONCATENATE((INDEX($A$7:$A$165,SMALL(IF($T$7:$T$165&lt;&gt;"",IF($Q$7:$Q$165&lt;&gt;"",ROW($Q$7:$Q$165)-MIN(ROW($Q$7:$Q$165))+1,""),""),ROW()-ROW(A$167)+1))),),"")</f>
        <v>0</v>
      </c>
      <c r="W296">
        <f t="array" ref="W296">IFERROR(CONCATENATE((INDEX($Z$7:$Z$165,SMALL(IF($Z$7:$Z$165&lt;&gt;"",IF($W$7:$W$165&lt;&gt;"",ROW($W$7:$W$165)-MIN(ROW($W$7:$W$165))+1,""),""),ROW()-ROW(A$167)+1))),","),"")</f>
        <v>0</v>
      </c>
      <c r="X296">
        <f t="array" ref="X296">IFERROR(CONCATENATE(TEXT(INDEX($W$7:$W$165,SMALL(IF($Z$7:$Z$165&lt;&gt;"",IF($W$7:$W$165&lt;&gt;"",ROW($W$7:$W$165)-MIN(ROW($W$7:$W$165))+1,""),""),ROW()-ROW(A$167)+1)),"##0"),","),"")</f>
        <v>0</v>
      </c>
      <c r="Y296">
        <f t="array" ref="Y296">IFERROR(CONCATENATE((INDEX($A$7:$A$165,SMALL(IF($Z$7:$Z$165&lt;&gt;"",IF($W$7:$W$165&lt;&gt;"",ROW($W$7:$W$165)-MIN(ROW($W$7:$W$165))+1,""),""),ROW()-ROW(A$167)+1))),),"")</f>
        <v>0</v>
      </c>
    </row>
    <row r="297" spans="11:25">
      <c r="K297">
        <f t="array" ref="K297">IFERROR(CONCATENATE(TEXT(INDEX($K$7:$K$165,SMALL(IF($N$7:$N$165&lt;&gt;"",IF($K$7:$K$165&lt;&gt;"",ROW($K$7:$K$165)-MIN(ROW($K$7:$K$165))+1,""),""),ROW()-ROW(A$167)+1)),"##0"),","),"")</f>
        <v>0</v>
      </c>
      <c r="L297">
        <f t="array" ref="L297">IFERROR(CONCATENATE((INDEX($N$7:$N$165,SMALL(IF($N$7:$N$165&lt;&gt;"",IF($K$7:$K$165&lt;&gt;"",ROW($K$7:$K$165)-MIN(ROW($K$7:$K$165))+1,""),""),ROW()-ROW(A$167)+1))),","),"")</f>
        <v>0</v>
      </c>
      <c r="M297">
        <f t="array" ref="M297">IFERROR(CONCATENATE((INDEX($A$7:$A$165,SMALL(IF($N$7:$N$165&lt;&gt;"",IF($K$7:$K$165&lt;&gt;"",ROW($K$7:$K$165)-MIN(ROW($K$7:$K$165))+1,""),""),ROW()-ROW(A$167)+1))),),"")</f>
        <v>0</v>
      </c>
      <c r="Q297">
        <f t="array" ref="Q297">IFERROR(CONCATENATE((INDEX($T$7:$T$165,SMALL(IF($T$7:$T$165&lt;&gt;"",IF($Q$7:$Q$165&lt;&gt;"",ROW($Q$7:$Q$165)-MIN(ROW($Q$7:$Q$165))+1,""),""),ROW()-ROW(A$167)+1)))," "),"")</f>
        <v>0</v>
      </c>
      <c r="R297">
        <f t="array" ref="R297">IFERROR(CONCATENATE(TEXT(INDEX($Q$7:$Q$165,SMALL(IF($T$7:$T$165&lt;&gt;"",IF($Q$7:$Q$165&lt;&gt;"",ROW($Q$7:$Q$165)-MIN(ROW($Q$7:$Q$165))+1,""),""),ROW()-ROW(A$167)+1)),"##0")," "),"")</f>
        <v>0</v>
      </c>
      <c r="S297">
        <f t="array" ref="S297">IFERROR(CONCATENATE((INDEX($A$7:$A$165,SMALL(IF($T$7:$T$165&lt;&gt;"",IF($Q$7:$Q$165&lt;&gt;"",ROW($Q$7:$Q$165)-MIN(ROW($Q$7:$Q$165))+1,""),""),ROW()-ROW(A$167)+1))),),"")</f>
        <v>0</v>
      </c>
      <c r="W297">
        <f t="array" ref="W297">IFERROR(CONCATENATE((INDEX($Z$7:$Z$165,SMALL(IF($Z$7:$Z$165&lt;&gt;"",IF($W$7:$W$165&lt;&gt;"",ROW($W$7:$W$165)-MIN(ROW($W$7:$W$165))+1,""),""),ROW()-ROW(A$167)+1))),","),"")</f>
        <v>0</v>
      </c>
      <c r="X297">
        <f t="array" ref="X297">IFERROR(CONCATENATE(TEXT(INDEX($W$7:$W$165,SMALL(IF($Z$7:$Z$165&lt;&gt;"",IF($W$7:$W$165&lt;&gt;"",ROW($W$7:$W$165)-MIN(ROW($W$7:$W$165))+1,""),""),ROW()-ROW(A$167)+1)),"##0"),","),"")</f>
        <v>0</v>
      </c>
      <c r="Y297">
        <f t="array" ref="Y297">IFERROR(CONCATENATE((INDEX($A$7:$A$165,SMALL(IF($Z$7:$Z$165&lt;&gt;"",IF($W$7:$W$165&lt;&gt;"",ROW($W$7:$W$165)-MIN(ROW($W$7:$W$165))+1,""),""),ROW()-ROW(A$167)+1))),),"")</f>
        <v>0</v>
      </c>
    </row>
    <row r="298" spans="11:25">
      <c r="K298">
        <f t="array" ref="K298">IFERROR(CONCATENATE(TEXT(INDEX($K$7:$K$165,SMALL(IF($N$7:$N$165&lt;&gt;"",IF($K$7:$K$165&lt;&gt;"",ROW($K$7:$K$165)-MIN(ROW($K$7:$K$165))+1,""),""),ROW()-ROW(A$167)+1)),"##0"),","),"")</f>
        <v>0</v>
      </c>
      <c r="L298">
        <f t="array" ref="L298">IFERROR(CONCATENATE((INDEX($N$7:$N$165,SMALL(IF($N$7:$N$165&lt;&gt;"",IF($K$7:$K$165&lt;&gt;"",ROW($K$7:$K$165)-MIN(ROW($K$7:$K$165))+1,""),""),ROW()-ROW(A$167)+1))),","),"")</f>
        <v>0</v>
      </c>
      <c r="M298">
        <f t="array" ref="M298">IFERROR(CONCATENATE((INDEX($A$7:$A$165,SMALL(IF($N$7:$N$165&lt;&gt;"",IF($K$7:$K$165&lt;&gt;"",ROW($K$7:$K$165)-MIN(ROW($K$7:$K$165))+1,""),""),ROW()-ROW(A$167)+1))),),"")</f>
        <v>0</v>
      </c>
      <c r="Q298">
        <f t="array" ref="Q298">IFERROR(CONCATENATE((INDEX($T$7:$T$165,SMALL(IF($T$7:$T$165&lt;&gt;"",IF($Q$7:$Q$165&lt;&gt;"",ROW($Q$7:$Q$165)-MIN(ROW($Q$7:$Q$165))+1,""),""),ROW()-ROW(A$167)+1)))," "),"")</f>
        <v>0</v>
      </c>
      <c r="R298">
        <f t="array" ref="R298">IFERROR(CONCATENATE(TEXT(INDEX($Q$7:$Q$165,SMALL(IF($T$7:$T$165&lt;&gt;"",IF($Q$7:$Q$165&lt;&gt;"",ROW($Q$7:$Q$165)-MIN(ROW($Q$7:$Q$165))+1,""),""),ROW()-ROW(A$167)+1)),"##0")," "),"")</f>
        <v>0</v>
      </c>
      <c r="S298">
        <f t="array" ref="S298">IFERROR(CONCATENATE((INDEX($A$7:$A$165,SMALL(IF($T$7:$T$165&lt;&gt;"",IF($Q$7:$Q$165&lt;&gt;"",ROW($Q$7:$Q$165)-MIN(ROW($Q$7:$Q$165))+1,""),""),ROW()-ROW(A$167)+1))),),"")</f>
        <v>0</v>
      </c>
      <c r="W298">
        <f t="array" ref="W298">IFERROR(CONCATENATE((INDEX($Z$7:$Z$165,SMALL(IF($Z$7:$Z$165&lt;&gt;"",IF($W$7:$W$165&lt;&gt;"",ROW($W$7:$W$165)-MIN(ROW($W$7:$W$165))+1,""),""),ROW()-ROW(A$167)+1))),","),"")</f>
        <v>0</v>
      </c>
      <c r="X298">
        <f t="array" ref="X298">IFERROR(CONCATENATE(TEXT(INDEX($W$7:$W$165,SMALL(IF($Z$7:$Z$165&lt;&gt;"",IF($W$7:$W$165&lt;&gt;"",ROW($W$7:$W$165)-MIN(ROW($W$7:$W$165))+1,""),""),ROW()-ROW(A$167)+1)),"##0"),","),"")</f>
        <v>0</v>
      </c>
      <c r="Y298">
        <f t="array" ref="Y298">IFERROR(CONCATENATE((INDEX($A$7:$A$165,SMALL(IF($Z$7:$Z$165&lt;&gt;"",IF($W$7:$W$165&lt;&gt;"",ROW($W$7:$W$165)-MIN(ROW($W$7:$W$165))+1,""),""),ROW()-ROW(A$167)+1))),),"")</f>
        <v>0</v>
      </c>
    </row>
    <row r="299" spans="11:25">
      <c r="K299">
        <f t="array" ref="K299">IFERROR(CONCATENATE(TEXT(INDEX($K$7:$K$165,SMALL(IF($N$7:$N$165&lt;&gt;"",IF($K$7:$K$165&lt;&gt;"",ROW($K$7:$K$165)-MIN(ROW($K$7:$K$165))+1,""),""),ROW()-ROW(A$167)+1)),"##0"),","),"")</f>
        <v>0</v>
      </c>
      <c r="L299">
        <f t="array" ref="L299">IFERROR(CONCATENATE((INDEX($N$7:$N$165,SMALL(IF($N$7:$N$165&lt;&gt;"",IF($K$7:$K$165&lt;&gt;"",ROW($K$7:$K$165)-MIN(ROW($K$7:$K$165))+1,""),""),ROW()-ROW(A$167)+1))),","),"")</f>
        <v>0</v>
      </c>
      <c r="M299">
        <f t="array" ref="M299">IFERROR(CONCATENATE((INDEX($A$7:$A$165,SMALL(IF($N$7:$N$165&lt;&gt;"",IF($K$7:$K$165&lt;&gt;"",ROW($K$7:$K$165)-MIN(ROW($K$7:$K$165))+1,""),""),ROW()-ROW(A$167)+1))),),"")</f>
        <v>0</v>
      </c>
      <c r="Q299">
        <f t="array" ref="Q299">IFERROR(CONCATENATE((INDEX($T$7:$T$165,SMALL(IF($T$7:$T$165&lt;&gt;"",IF($Q$7:$Q$165&lt;&gt;"",ROW($Q$7:$Q$165)-MIN(ROW($Q$7:$Q$165))+1,""),""),ROW()-ROW(A$167)+1)))," "),"")</f>
        <v>0</v>
      </c>
      <c r="R299">
        <f t="array" ref="R299">IFERROR(CONCATENATE(TEXT(INDEX($Q$7:$Q$165,SMALL(IF($T$7:$T$165&lt;&gt;"",IF($Q$7:$Q$165&lt;&gt;"",ROW($Q$7:$Q$165)-MIN(ROW($Q$7:$Q$165))+1,""),""),ROW()-ROW(A$167)+1)),"##0")," "),"")</f>
        <v>0</v>
      </c>
      <c r="S299">
        <f t="array" ref="S299">IFERROR(CONCATENATE((INDEX($A$7:$A$165,SMALL(IF($T$7:$T$165&lt;&gt;"",IF($Q$7:$Q$165&lt;&gt;"",ROW($Q$7:$Q$165)-MIN(ROW($Q$7:$Q$165))+1,""),""),ROW()-ROW(A$167)+1))),),"")</f>
        <v>0</v>
      </c>
      <c r="W299">
        <f t="array" ref="W299">IFERROR(CONCATENATE((INDEX($Z$7:$Z$165,SMALL(IF($Z$7:$Z$165&lt;&gt;"",IF($W$7:$W$165&lt;&gt;"",ROW($W$7:$W$165)-MIN(ROW($W$7:$W$165))+1,""),""),ROW()-ROW(A$167)+1))),","),"")</f>
        <v>0</v>
      </c>
      <c r="X299">
        <f t="array" ref="X299">IFERROR(CONCATENATE(TEXT(INDEX($W$7:$W$165,SMALL(IF($Z$7:$Z$165&lt;&gt;"",IF($W$7:$W$165&lt;&gt;"",ROW($W$7:$W$165)-MIN(ROW($W$7:$W$165))+1,""),""),ROW()-ROW(A$167)+1)),"##0"),","),"")</f>
        <v>0</v>
      </c>
      <c r="Y299">
        <f t="array" ref="Y299">IFERROR(CONCATENATE((INDEX($A$7:$A$165,SMALL(IF($Z$7:$Z$165&lt;&gt;"",IF($W$7:$W$165&lt;&gt;"",ROW($W$7:$W$165)-MIN(ROW($W$7:$W$165))+1,""),""),ROW()-ROW(A$167)+1))),),"")</f>
        <v>0</v>
      </c>
    </row>
    <row r="300" spans="11:25">
      <c r="K300">
        <f t="array" ref="K300">IFERROR(CONCATENATE(TEXT(INDEX($K$7:$K$165,SMALL(IF($N$7:$N$165&lt;&gt;"",IF($K$7:$K$165&lt;&gt;"",ROW($K$7:$K$165)-MIN(ROW($K$7:$K$165))+1,""),""),ROW()-ROW(A$167)+1)),"##0"),","),"")</f>
        <v>0</v>
      </c>
      <c r="L300">
        <f t="array" ref="L300">IFERROR(CONCATENATE((INDEX($N$7:$N$165,SMALL(IF($N$7:$N$165&lt;&gt;"",IF($K$7:$K$165&lt;&gt;"",ROW($K$7:$K$165)-MIN(ROW($K$7:$K$165))+1,""),""),ROW()-ROW(A$167)+1))),","),"")</f>
        <v>0</v>
      </c>
      <c r="M300">
        <f t="array" ref="M300">IFERROR(CONCATENATE((INDEX($A$7:$A$165,SMALL(IF($N$7:$N$165&lt;&gt;"",IF($K$7:$K$165&lt;&gt;"",ROW($K$7:$K$165)-MIN(ROW($K$7:$K$165))+1,""),""),ROW()-ROW(A$167)+1))),),"")</f>
        <v>0</v>
      </c>
      <c r="Q300">
        <f t="array" ref="Q300">IFERROR(CONCATENATE((INDEX($T$7:$T$165,SMALL(IF($T$7:$T$165&lt;&gt;"",IF($Q$7:$Q$165&lt;&gt;"",ROW($Q$7:$Q$165)-MIN(ROW($Q$7:$Q$165))+1,""),""),ROW()-ROW(A$167)+1)))," "),"")</f>
        <v>0</v>
      </c>
      <c r="R300">
        <f t="array" ref="R300">IFERROR(CONCATENATE(TEXT(INDEX($Q$7:$Q$165,SMALL(IF($T$7:$T$165&lt;&gt;"",IF($Q$7:$Q$165&lt;&gt;"",ROW($Q$7:$Q$165)-MIN(ROW($Q$7:$Q$165))+1,""),""),ROW()-ROW(A$167)+1)),"##0")," "),"")</f>
        <v>0</v>
      </c>
      <c r="S300">
        <f t="array" ref="S300">IFERROR(CONCATENATE((INDEX($A$7:$A$165,SMALL(IF($T$7:$T$165&lt;&gt;"",IF($Q$7:$Q$165&lt;&gt;"",ROW($Q$7:$Q$165)-MIN(ROW($Q$7:$Q$165))+1,""),""),ROW()-ROW(A$167)+1))),),"")</f>
        <v>0</v>
      </c>
      <c r="W300">
        <f t="array" ref="W300">IFERROR(CONCATENATE((INDEX($Z$7:$Z$165,SMALL(IF($Z$7:$Z$165&lt;&gt;"",IF($W$7:$W$165&lt;&gt;"",ROW($W$7:$W$165)-MIN(ROW($W$7:$W$165))+1,""),""),ROW()-ROW(A$167)+1))),","),"")</f>
        <v>0</v>
      </c>
      <c r="X300">
        <f t="array" ref="X300">IFERROR(CONCATENATE(TEXT(INDEX($W$7:$W$165,SMALL(IF($Z$7:$Z$165&lt;&gt;"",IF($W$7:$W$165&lt;&gt;"",ROW($W$7:$W$165)-MIN(ROW($W$7:$W$165))+1,""),""),ROW()-ROW(A$167)+1)),"##0"),","),"")</f>
        <v>0</v>
      </c>
      <c r="Y300">
        <f t="array" ref="Y300">IFERROR(CONCATENATE((INDEX($A$7:$A$165,SMALL(IF($Z$7:$Z$165&lt;&gt;"",IF($W$7:$W$165&lt;&gt;"",ROW($W$7:$W$165)-MIN(ROW($W$7:$W$165))+1,""),""),ROW()-ROW(A$167)+1))),),"")</f>
        <v>0</v>
      </c>
    </row>
    <row r="301" spans="11:25">
      <c r="K301">
        <f t="array" ref="K301">IFERROR(CONCATENATE(TEXT(INDEX($K$7:$K$165,SMALL(IF($N$7:$N$165&lt;&gt;"",IF($K$7:$K$165&lt;&gt;"",ROW($K$7:$K$165)-MIN(ROW($K$7:$K$165))+1,""),""),ROW()-ROW(A$167)+1)),"##0"),","),"")</f>
        <v>0</v>
      </c>
      <c r="L301">
        <f t="array" ref="L301">IFERROR(CONCATENATE((INDEX($N$7:$N$165,SMALL(IF($N$7:$N$165&lt;&gt;"",IF($K$7:$K$165&lt;&gt;"",ROW($K$7:$K$165)-MIN(ROW($K$7:$K$165))+1,""),""),ROW()-ROW(A$167)+1))),","),"")</f>
        <v>0</v>
      </c>
      <c r="M301">
        <f t="array" ref="M301">IFERROR(CONCATENATE((INDEX($A$7:$A$165,SMALL(IF($N$7:$N$165&lt;&gt;"",IF($K$7:$K$165&lt;&gt;"",ROW($K$7:$K$165)-MIN(ROW($K$7:$K$165))+1,""),""),ROW()-ROW(A$167)+1))),),"")</f>
        <v>0</v>
      </c>
      <c r="Q301">
        <f t="array" ref="Q301">IFERROR(CONCATENATE((INDEX($T$7:$T$165,SMALL(IF($T$7:$T$165&lt;&gt;"",IF($Q$7:$Q$165&lt;&gt;"",ROW($Q$7:$Q$165)-MIN(ROW($Q$7:$Q$165))+1,""),""),ROW()-ROW(A$167)+1)))," "),"")</f>
        <v>0</v>
      </c>
      <c r="R301">
        <f t="array" ref="R301">IFERROR(CONCATENATE(TEXT(INDEX($Q$7:$Q$165,SMALL(IF($T$7:$T$165&lt;&gt;"",IF($Q$7:$Q$165&lt;&gt;"",ROW($Q$7:$Q$165)-MIN(ROW($Q$7:$Q$165))+1,""),""),ROW()-ROW(A$167)+1)),"##0")," "),"")</f>
        <v>0</v>
      </c>
      <c r="S301">
        <f t="array" ref="S301">IFERROR(CONCATENATE((INDEX($A$7:$A$165,SMALL(IF($T$7:$T$165&lt;&gt;"",IF($Q$7:$Q$165&lt;&gt;"",ROW($Q$7:$Q$165)-MIN(ROW($Q$7:$Q$165))+1,""),""),ROW()-ROW(A$167)+1))),),"")</f>
        <v>0</v>
      </c>
      <c r="W301">
        <f t="array" ref="W301">IFERROR(CONCATENATE((INDEX($Z$7:$Z$165,SMALL(IF($Z$7:$Z$165&lt;&gt;"",IF($W$7:$W$165&lt;&gt;"",ROW($W$7:$W$165)-MIN(ROW($W$7:$W$165))+1,""),""),ROW()-ROW(A$167)+1))),","),"")</f>
        <v>0</v>
      </c>
      <c r="X301">
        <f t="array" ref="X301">IFERROR(CONCATENATE(TEXT(INDEX($W$7:$W$165,SMALL(IF($Z$7:$Z$165&lt;&gt;"",IF($W$7:$W$165&lt;&gt;"",ROW($W$7:$W$165)-MIN(ROW($W$7:$W$165))+1,""),""),ROW()-ROW(A$167)+1)),"##0"),","),"")</f>
        <v>0</v>
      </c>
      <c r="Y301">
        <f t="array" ref="Y301">IFERROR(CONCATENATE((INDEX($A$7:$A$165,SMALL(IF($Z$7:$Z$165&lt;&gt;"",IF($W$7:$W$165&lt;&gt;"",ROW($W$7:$W$165)-MIN(ROW($W$7:$W$165))+1,""),""),ROW()-ROW(A$167)+1))),),"")</f>
        <v>0</v>
      </c>
    </row>
    <row r="302" spans="11:25">
      <c r="K302">
        <f t="array" ref="K302">IFERROR(CONCATENATE(TEXT(INDEX($K$7:$K$165,SMALL(IF($N$7:$N$165&lt;&gt;"",IF($K$7:$K$165&lt;&gt;"",ROW($K$7:$K$165)-MIN(ROW($K$7:$K$165))+1,""),""),ROW()-ROW(A$167)+1)),"##0"),","),"")</f>
        <v>0</v>
      </c>
      <c r="L302">
        <f t="array" ref="L302">IFERROR(CONCATENATE((INDEX($N$7:$N$165,SMALL(IF($N$7:$N$165&lt;&gt;"",IF($K$7:$K$165&lt;&gt;"",ROW($K$7:$K$165)-MIN(ROW($K$7:$K$165))+1,""),""),ROW()-ROW(A$167)+1))),","),"")</f>
        <v>0</v>
      </c>
      <c r="M302">
        <f t="array" ref="M302">IFERROR(CONCATENATE((INDEX($A$7:$A$165,SMALL(IF($N$7:$N$165&lt;&gt;"",IF($K$7:$K$165&lt;&gt;"",ROW($K$7:$K$165)-MIN(ROW($K$7:$K$165))+1,""),""),ROW()-ROW(A$167)+1))),),"")</f>
        <v>0</v>
      </c>
      <c r="Q302">
        <f t="array" ref="Q302">IFERROR(CONCATENATE((INDEX($T$7:$T$165,SMALL(IF($T$7:$T$165&lt;&gt;"",IF($Q$7:$Q$165&lt;&gt;"",ROW($Q$7:$Q$165)-MIN(ROW($Q$7:$Q$165))+1,""),""),ROW()-ROW(A$167)+1)))," "),"")</f>
        <v>0</v>
      </c>
      <c r="R302">
        <f t="array" ref="R302">IFERROR(CONCATENATE(TEXT(INDEX($Q$7:$Q$165,SMALL(IF($T$7:$T$165&lt;&gt;"",IF($Q$7:$Q$165&lt;&gt;"",ROW($Q$7:$Q$165)-MIN(ROW($Q$7:$Q$165))+1,""),""),ROW()-ROW(A$167)+1)),"##0")," "),"")</f>
        <v>0</v>
      </c>
      <c r="S302">
        <f t="array" ref="S302">IFERROR(CONCATENATE((INDEX($A$7:$A$165,SMALL(IF($T$7:$T$165&lt;&gt;"",IF($Q$7:$Q$165&lt;&gt;"",ROW($Q$7:$Q$165)-MIN(ROW($Q$7:$Q$165))+1,""),""),ROW()-ROW(A$167)+1))),),"")</f>
        <v>0</v>
      </c>
      <c r="W302">
        <f t="array" ref="W302">IFERROR(CONCATENATE((INDEX($Z$7:$Z$165,SMALL(IF($Z$7:$Z$165&lt;&gt;"",IF($W$7:$W$165&lt;&gt;"",ROW($W$7:$W$165)-MIN(ROW($W$7:$W$165))+1,""),""),ROW()-ROW(A$167)+1))),","),"")</f>
        <v>0</v>
      </c>
      <c r="X302">
        <f t="array" ref="X302">IFERROR(CONCATENATE(TEXT(INDEX($W$7:$W$165,SMALL(IF($Z$7:$Z$165&lt;&gt;"",IF($W$7:$W$165&lt;&gt;"",ROW($W$7:$W$165)-MIN(ROW($W$7:$W$165))+1,""),""),ROW()-ROW(A$167)+1)),"##0"),","),"")</f>
        <v>0</v>
      </c>
      <c r="Y302">
        <f t="array" ref="Y302">IFERROR(CONCATENATE((INDEX($A$7:$A$165,SMALL(IF($Z$7:$Z$165&lt;&gt;"",IF($W$7:$W$165&lt;&gt;"",ROW($W$7:$W$165)-MIN(ROW($W$7:$W$165))+1,""),""),ROW()-ROW(A$167)+1))),),"")</f>
        <v>0</v>
      </c>
    </row>
    <row r="303" spans="11:25">
      <c r="K303">
        <f t="array" ref="K303">IFERROR(CONCATENATE(TEXT(INDEX($K$7:$K$165,SMALL(IF($N$7:$N$165&lt;&gt;"",IF($K$7:$K$165&lt;&gt;"",ROW($K$7:$K$165)-MIN(ROW($K$7:$K$165))+1,""),""),ROW()-ROW(A$167)+1)),"##0"),","),"")</f>
        <v>0</v>
      </c>
      <c r="L303">
        <f t="array" ref="L303">IFERROR(CONCATENATE((INDEX($N$7:$N$165,SMALL(IF($N$7:$N$165&lt;&gt;"",IF($K$7:$K$165&lt;&gt;"",ROW($K$7:$K$165)-MIN(ROW($K$7:$K$165))+1,""),""),ROW()-ROW(A$167)+1))),","),"")</f>
        <v>0</v>
      </c>
      <c r="M303">
        <f t="array" ref="M303">IFERROR(CONCATENATE((INDEX($A$7:$A$165,SMALL(IF($N$7:$N$165&lt;&gt;"",IF($K$7:$K$165&lt;&gt;"",ROW($K$7:$K$165)-MIN(ROW($K$7:$K$165))+1,""),""),ROW()-ROW(A$167)+1))),),"")</f>
        <v>0</v>
      </c>
      <c r="Q303">
        <f t="array" ref="Q303">IFERROR(CONCATENATE((INDEX($T$7:$T$165,SMALL(IF($T$7:$T$165&lt;&gt;"",IF($Q$7:$Q$165&lt;&gt;"",ROW($Q$7:$Q$165)-MIN(ROW($Q$7:$Q$165))+1,""),""),ROW()-ROW(A$167)+1)))," "),"")</f>
        <v>0</v>
      </c>
      <c r="R303">
        <f t="array" ref="R303">IFERROR(CONCATENATE(TEXT(INDEX($Q$7:$Q$165,SMALL(IF($T$7:$T$165&lt;&gt;"",IF($Q$7:$Q$165&lt;&gt;"",ROW($Q$7:$Q$165)-MIN(ROW($Q$7:$Q$165))+1,""),""),ROW()-ROW(A$167)+1)),"##0")," "),"")</f>
        <v>0</v>
      </c>
      <c r="S303">
        <f t="array" ref="S303">IFERROR(CONCATENATE((INDEX($A$7:$A$165,SMALL(IF($T$7:$T$165&lt;&gt;"",IF($Q$7:$Q$165&lt;&gt;"",ROW($Q$7:$Q$165)-MIN(ROW($Q$7:$Q$165))+1,""),""),ROW()-ROW(A$167)+1))),),"")</f>
        <v>0</v>
      </c>
      <c r="W303">
        <f t="array" ref="W303">IFERROR(CONCATENATE((INDEX($Z$7:$Z$165,SMALL(IF($Z$7:$Z$165&lt;&gt;"",IF($W$7:$W$165&lt;&gt;"",ROW($W$7:$W$165)-MIN(ROW($W$7:$W$165))+1,""),""),ROW()-ROW(A$167)+1))),","),"")</f>
        <v>0</v>
      </c>
      <c r="X303">
        <f t="array" ref="X303">IFERROR(CONCATENATE(TEXT(INDEX($W$7:$W$165,SMALL(IF($Z$7:$Z$165&lt;&gt;"",IF($W$7:$W$165&lt;&gt;"",ROW($W$7:$W$165)-MIN(ROW($W$7:$W$165))+1,""),""),ROW()-ROW(A$167)+1)),"##0"),","),"")</f>
        <v>0</v>
      </c>
      <c r="Y303">
        <f t="array" ref="Y303">IFERROR(CONCATENATE((INDEX($A$7:$A$165,SMALL(IF($Z$7:$Z$165&lt;&gt;"",IF($W$7:$W$165&lt;&gt;"",ROW($W$7:$W$165)-MIN(ROW($W$7:$W$165))+1,""),""),ROW()-ROW(A$167)+1))),),"")</f>
        <v>0</v>
      </c>
    </row>
    <row r="304" spans="11:25">
      <c r="K304">
        <f t="array" ref="K304">IFERROR(CONCATENATE(TEXT(INDEX($K$7:$K$165,SMALL(IF($N$7:$N$165&lt;&gt;"",IF($K$7:$K$165&lt;&gt;"",ROW($K$7:$K$165)-MIN(ROW($K$7:$K$165))+1,""),""),ROW()-ROW(A$167)+1)),"##0"),","),"")</f>
        <v>0</v>
      </c>
      <c r="L304">
        <f t="array" ref="L304">IFERROR(CONCATENATE((INDEX($N$7:$N$165,SMALL(IF($N$7:$N$165&lt;&gt;"",IF($K$7:$K$165&lt;&gt;"",ROW($K$7:$K$165)-MIN(ROW($K$7:$K$165))+1,""),""),ROW()-ROW(A$167)+1))),","),"")</f>
        <v>0</v>
      </c>
      <c r="M304">
        <f t="array" ref="M304">IFERROR(CONCATENATE((INDEX($A$7:$A$165,SMALL(IF($N$7:$N$165&lt;&gt;"",IF($K$7:$K$165&lt;&gt;"",ROW($K$7:$K$165)-MIN(ROW($K$7:$K$165))+1,""),""),ROW()-ROW(A$167)+1))),),"")</f>
        <v>0</v>
      </c>
      <c r="Q304">
        <f t="array" ref="Q304">IFERROR(CONCATENATE((INDEX($T$7:$T$165,SMALL(IF($T$7:$T$165&lt;&gt;"",IF($Q$7:$Q$165&lt;&gt;"",ROW($Q$7:$Q$165)-MIN(ROW($Q$7:$Q$165))+1,""),""),ROW()-ROW(A$167)+1)))," "),"")</f>
        <v>0</v>
      </c>
      <c r="R304">
        <f t="array" ref="R304">IFERROR(CONCATENATE(TEXT(INDEX($Q$7:$Q$165,SMALL(IF($T$7:$T$165&lt;&gt;"",IF($Q$7:$Q$165&lt;&gt;"",ROW($Q$7:$Q$165)-MIN(ROW($Q$7:$Q$165))+1,""),""),ROW()-ROW(A$167)+1)),"##0")," "),"")</f>
        <v>0</v>
      </c>
      <c r="S304">
        <f t="array" ref="S304">IFERROR(CONCATENATE((INDEX($A$7:$A$165,SMALL(IF($T$7:$T$165&lt;&gt;"",IF($Q$7:$Q$165&lt;&gt;"",ROW($Q$7:$Q$165)-MIN(ROW($Q$7:$Q$165))+1,""),""),ROW()-ROW(A$167)+1))),),"")</f>
        <v>0</v>
      </c>
      <c r="W304">
        <f t="array" ref="W304">IFERROR(CONCATENATE((INDEX($Z$7:$Z$165,SMALL(IF($Z$7:$Z$165&lt;&gt;"",IF($W$7:$W$165&lt;&gt;"",ROW($W$7:$W$165)-MIN(ROW($W$7:$W$165))+1,""),""),ROW()-ROW(A$167)+1))),","),"")</f>
        <v>0</v>
      </c>
      <c r="X304">
        <f t="array" ref="X304">IFERROR(CONCATENATE(TEXT(INDEX($W$7:$W$165,SMALL(IF($Z$7:$Z$165&lt;&gt;"",IF($W$7:$W$165&lt;&gt;"",ROW($W$7:$W$165)-MIN(ROW($W$7:$W$165))+1,""),""),ROW()-ROW(A$167)+1)),"##0"),","),"")</f>
        <v>0</v>
      </c>
      <c r="Y304">
        <f t="array" ref="Y304">IFERROR(CONCATENATE((INDEX($A$7:$A$165,SMALL(IF($Z$7:$Z$165&lt;&gt;"",IF($W$7:$W$165&lt;&gt;"",ROW($W$7:$W$165)-MIN(ROW($W$7:$W$165))+1,""),""),ROW()-ROW(A$167)+1))),),"")</f>
        <v>0</v>
      </c>
    </row>
    <row r="305" spans="11:25">
      <c r="K305">
        <f t="array" ref="K305">IFERROR(CONCATENATE(TEXT(INDEX($K$7:$K$165,SMALL(IF($N$7:$N$165&lt;&gt;"",IF($K$7:$K$165&lt;&gt;"",ROW($K$7:$K$165)-MIN(ROW($K$7:$K$165))+1,""),""),ROW()-ROW(A$167)+1)),"##0"),","),"")</f>
        <v>0</v>
      </c>
      <c r="L305">
        <f t="array" ref="L305">IFERROR(CONCATENATE((INDEX($N$7:$N$165,SMALL(IF($N$7:$N$165&lt;&gt;"",IF($K$7:$K$165&lt;&gt;"",ROW($K$7:$K$165)-MIN(ROW($K$7:$K$165))+1,""),""),ROW()-ROW(A$167)+1))),","),"")</f>
        <v>0</v>
      </c>
      <c r="M305">
        <f t="array" ref="M305">IFERROR(CONCATENATE((INDEX($A$7:$A$165,SMALL(IF($N$7:$N$165&lt;&gt;"",IF($K$7:$K$165&lt;&gt;"",ROW($K$7:$K$165)-MIN(ROW($K$7:$K$165))+1,""),""),ROW()-ROW(A$167)+1))),),"")</f>
        <v>0</v>
      </c>
      <c r="Q305">
        <f t="array" ref="Q305">IFERROR(CONCATENATE((INDEX($T$7:$T$165,SMALL(IF($T$7:$T$165&lt;&gt;"",IF($Q$7:$Q$165&lt;&gt;"",ROW($Q$7:$Q$165)-MIN(ROW($Q$7:$Q$165))+1,""),""),ROW()-ROW(A$167)+1)))," "),"")</f>
        <v>0</v>
      </c>
      <c r="R305">
        <f t="array" ref="R305">IFERROR(CONCATENATE(TEXT(INDEX($Q$7:$Q$165,SMALL(IF($T$7:$T$165&lt;&gt;"",IF($Q$7:$Q$165&lt;&gt;"",ROW($Q$7:$Q$165)-MIN(ROW($Q$7:$Q$165))+1,""),""),ROW()-ROW(A$167)+1)),"##0")," "),"")</f>
        <v>0</v>
      </c>
      <c r="S305">
        <f t="array" ref="S305">IFERROR(CONCATENATE((INDEX($A$7:$A$165,SMALL(IF($T$7:$T$165&lt;&gt;"",IF($Q$7:$Q$165&lt;&gt;"",ROW($Q$7:$Q$165)-MIN(ROW($Q$7:$Q$165))+1,""),""),ROW()-ROW(A$167)+1))),),"")</f>
        <v>0</v>
      </c>
      <c r="W305">
        <f t="array" ref="W305">IFERROR(CONCATENATE((INDEX($Z$7:$Z$165,SMALL(IF($Z$7:$Z$165&lt;&gt;"",IF($W$7:$W$165&lt;&gt;"",ROW($W$7:$W$165)-MIN(ROW($W$7:$W$165))+1,""),""),ROW()-ROW(A$167)+1))),","),"")</f>
        <v>0</v>
      </c>
      <c r="X305">
        <f t="array" ref="X305">IFERROR(CONCATENATE(TEXT(INDEX($W$7:$W$165,SMALL(IF($Z$7:$Z$165&lt;&gt;"",IF($W$7:$W$165&lt;&gt;"",ROW($W$7:$W$165)-MIN(ROW($W$7:$W$165))+1,""),""),ROW()-ROW(A$167)+1)),"##0"),","),"")</f>
        <v>0</v>
      </c>
      <c r="Y305">
        <f t="array" ref="Y305">IFERROR(CONCATENATE((INDEX($A$7:$A$165,SMALL(IF($Z$7:$Z$165&lt;&gt;"",IF($W$7:$W$165&lt;&gt;"",ROW($W$7:$W$165)-MIN(ROW($W$7:$W$165))+1,""),""),ROW()-ROW(A$167)+1))),),"")</f>
        <v>0</v>
      </c>
    </row>
    <row r="306" spans="11:25">
      <c r="K306">
        <f t="array" ref="K306">IFERROR(CONCATENATE(TEXT(INDEX($K$7:$K$165,SMALL(IF($N$7:$N$165&lt;&gt;"",IF($K$7:$K$165&lt;&gt;"",ROW($K$7:$K$165)-MIN(ROW($K$7:$K$165))+1,""),""),ROW()-ROW(A$167)+1)),"##0"),","),"")</f>
        <v>0</v>
      </c>
      <c r="L306">
        <f t="array" ref="L306">IFERROR(CONCATENATE((INDEX($N$7:$N$165,SMALL(IF($N$7:$N$165&lt;&gt;"",IF($K$7:$K$165&lt;&gt;"",ROW($K$7:$K$165)-MIN(ROW($K$7:$K$165))+1,""),""),ROW()-ROW(A$167)+1))),","),"")</f>
        <v>0</v>
      </c>
      <c r="M306">
        <f t="array" ref="M306">IFERROR(CONCATENATE((INDEX($A$7:$A$165,SMALL(IF($N$7:$N$165&lt;&gt;"",IF($K$7:$K$165&lt;&gt;"",ROW($K$7:$K$165)-MIN(ROW($K$7:$K$165))+1,""),""),ROW()-ROW(A$167)+1))),),"")</f>
        <v>0</v>
      </c>
      <c r="Q306">
        <f t="array" ref="Q306">IFERROR(CONCATENATE((INDEX($T$7:$T$165,SMALL(IF($T$7:$T$165&lt;&gt;"",IF($Q$7:$Q$165&lt;&gt;"",ROW($Q$7:$Q$165)-MIN(ROW($Q$7:$Q$165))+1,""),""),ROW()-ROW(A$167)+1)))," "),"")</f>
        <v>0</v>
      </c>
      <c r="R306">
        <f t="array" ref="R306">IFERROR(CONCATENATE(TEXT(INDEX($Q$7:$Q$165,SMALL(IF($T$7:$T$165&lt;&gt;"",IF($Q$7:$Q$165&lt;&gt;"",ROW($Q$7:$Q$165)-MIN(ROW($Q$7:$Q$165))+1,""),""),ROW()-ROW(A$167)+1)),"##0")," "),"")</f>
        <v>0</v>
      </c>
      <c r="S306">
        <f t="array" ref="S306">IFERROR(CONCATENATE((INDEX($A$7:$A$165,SMALL(IF($T$7:$T$165&lt;&gt;"",IF($Q$7:$Q$165&lt;&gt;"",ROW($Q$7:$Q$165)-MIN(ROW($Q$7:$Q$165))+1,""),""),ROW()-ROW(A$167)+1))),),"")</f>
        <v>0</v>
      </c>
      <c r="W306">
        <f t="array" ref="W306">IFERROR(CONCATENATE((INDEX($Z$7:$Z$165,SMALL(IF($Z$7:$Z$165&lt;&gt;"",IF($W$7:$W$165&lt;&gt;"",ROW($W$7:$W$165)-MIN(ROW($W$7:$W$165))+1,""),""),ROW()-ROW(A$167)+1))),","),"")</f>
        <v>0</v>
      </c>
      <c r="X306">
        <f t="array" ref="X306">IFERROR(CONCATENATE(TEXT(INDEX($W$7:$W$165,SMALL(IF($Z$7:$Z$165&lt;&gt;"",IF($W$7:$W$165&lt;&gt;"",ROW($W$7:$W$165)-MIN(ROW($W$7:$W$165))+1,""),""),ROW()-ROW(A$167)+1)),"##0"),","),"")</f>
        <v>0</v>
      </c>
      <c r="Y306">
        <f t="array" ref="Y306">IFERROR(CONCATENATE((INDEX($A$7:$A$165,SMALL(IF($Z$7:$Z$165&lt;&gt;"",IF($W$7:$W$165&lt;&gt;"",ROW($W$7:$W$165)-MIN(ROW($W$7:$W$165))+1,""),""),ROW()-ROW(A$167)+1))),),"")</f>
        <v>0</v>
      </c>
    </row>
    <row r="307" spans="11:25">
      <c r="K307">
        <f t="array" ref="K307">IFERROR(CONCATENATE(TEXT(INDEX($K$7:$K$165,SMALL(IF($N$7:$N$165&lt;&gt;"",IF($K$7:$K$165&lt;&gt;"",ROW($K$7:$K$165)-MIN(ROW($K$7:$K$165))+1,""),""),ROW()-ROW(A$167)+1)),"##0"),","),"")</f>
        <v>0</v>
      </c>
      <c r="L307">
        <f t="array" ref="L307">IFERROR(CONCATENATE((INDEX($N$7:$N$165,SMALL(IF($N$7:$N$165&lt;&gt;"",IF($K$7:$K$165&lt;&gt;"",ROW($K$7:$K$165)-MIN(ROW($K$7:$K$165))+1,""),""),ROW()-ROW(A$167)+1))),","),"")</f>
        <v>0</v>
      </c>
      <c r="M307">
        <f t="array" ref="M307">IFERROR(CONCATENATE((INDEX($A$7:$A$165,SMALL(IF($N$7:$N$165&lt;&gt;"",IF($K$7:$K$165&lt;&gt;"",ROW($K$7:$K$165)-MIN(ROW($K$7:$K$165))+1,""),""),ROW()-ROW(A$167)+1))),),"")</f>
        <v>0</v>
      </c>
      <c r="Q307">
        <f t="array" ref="Q307">IFERROR(CONCATENATE((INDEX($T$7:$T$165,SMALL(IF($T$7:$T$165&lt;&gt;"",IF($Q$7:$Q$165&lt;&gt;"",ROW($Q$7:$Q$165)-MIN(ROW($Q$7:$Q$165))+1,""),""),ROW()-ROW(A$167)+1)))," "),"")</f>
        <v>0</v>
      </c>
      <c r="R307">
        <f t="array" ref="R307">IFERROR(CONCATENATE(TEXT(INDEX($Q$7:$Q$165,SMALL(IF($T$7:$T$165&lt;&gt;"",IF($Q$7:$Q$165&lt;&gt;"",ROW($Q$7:$Q$165)-MIN(ROW($Q$7:$Q$165))+1,""),""),ROW()-ROW(A$167)+1)),"##0")," "),"")</f>
        <v>0</v>
      </c>
      <c r="S307">
        <f t="array" ref="S307">IFERROR(CONCATENATE((INDEX($A$7:$A$165,SMALL(IF($T$7:$T$165&lt;&gt;"",IF($Q$7:$Q$165&lt;&gt;"",ROW($Q$7:$Q$165)-MIN(ROW($Q$7:$Q$165))+1,""),""),ROW()-ROW(A$167)+1))),),"")</f>
        <v>0</v>
      </c>
      <c r="W307">
        <f t="array" ref="W307">IFERROR(CONCATENATE((INDEX($Z$7:$Z$165,SMALL(IF($Z$7:$Z$165&lt;&gt;"",IF($W$7:$W$165&lt;&gt;"",ROW($W$7:$W$165)-MIN(ROW($W$7:$W$165))+1,""),""),ROW()-ROW(A$167)+1))),","),"")</f>
        <v>0</v>
      </c>
      <c r="X307">
        <f t="array" ref="X307">IFERROR(CONCATENATE(TEXT(INDEX($W$7:$W$165,SMALL(IF($Z$7:$Z$165&lt;&gt;"",IF($W$7:$W$165&lt;&gt;"",ROW($W$7:$W$165)-MIN(ROW($W$7:$W$165))+1,""),""),ROW()-ROW(A$167)+1)),"##0"),","),"")</f>
        <v>0</v>
      </c>
      <c r="Y307">
        <f t="array" ref="Y307">IFERROR(CONCATENATE((INDEX($A$7:$A$165,SMALL(IF($Z$7:$Z$165&lt;&gt;"",IF($W$7:$W$165&lt;&gt;"",ROW($W$7:$W$165)-MIN(ROW($W$7:$W$165))+1,""),""),ROW()-ROW(A$167)+1))),),"")</f>
        <v>0</v>
      </c>
    </row>
    <row r="308" spans="11:25">
      <c r="K308">
        <f t="array" ref="K308">IFERROR(CONCATENATE(TEXT(INDEX($K$7:$K$165,SMALL(IF($N$7:$N$165&lt;&gt;"",IF($K$7:$K$165&lt;&gt;"",ROW($K$7:$K$165)-MIN(ROW($K$7:$K$165))+1,""),""),ROW()-ROW(A$167)+1)),"##0"),","),"")</f>
        <v>0</v>
      </c>
      <c r="L308">
        <f t="array" ref="L308">IFERROR(CONCATENATE((INDEX($N$7:$N$165,SMALL(IF($N$7:$N$165&lt;&gt;"",IF($K$7:$K$165&lt;&gt;"",ROW($K$7:$K$165)-MIN(ROW($K$7:$K$165))+1,""),""),ROW()-ROW(A$167)+1))),","),"")</f>
        <v>0</v>
      </c>
      <c r="M308">
        <f t="array" ref="M308">IFERROR(CONCATENATE((INDEX($A$7:$A$165,SMALL(IF($N$7:$N$165&lt;&gt;"",IF($K$7:$K$165&lt;&gt;"",ROW($K$7:$K$165)-MIN(ROW($K$7:$K$165))+1,""),""),ROW()-ROW(A$167)+1))),),"")</f>
        <v>0</v>
      </c>
      <c r="Q308">
        <f t="array" ref="Q308">IFERROR(CONCATENATE((INDEX($T$7:$T$165,SMALL(IF($T$7:$T$165&lt;&gt;"",IF($Q$7:$Q$165&lt;&gt;"",ROW($Q$7:$Q$165)-MIN(ROW($Q$7:$Q$165))+1,""),""),ROW()-ROW(A$167)+1)))," "),"")</f>
        <v>0</v>
      </c>
      <c r="R308">
        <f t="array" ref="R308">IFERROR(CONCATENATE(TEXT(INDEX($Q$7:$Q$165,SMALL(IF($T$7:$T$165&lt;&gt;"",IF($Q$7:$Q$165&lt;&gt;"",ROW($Q$7:$Q$165)-MIN(ROW($Q$7:$Q$165))+1,""),""),ROW()-ROW(A$167)+1)),"##0")," "),"")</f>
        <v>0</v>
      </c>
      <c r="S308">
        <f t="array" ref="S308">IFERROR(CONCATENATE((INDEX($A$7:$A$165,SMALL(IF($T$7:$T$165&lt;&gt;"",IF($Q$7:$Q$165&lt;&gt;"",ROW($Q$7:$Q$165)-MIN(ROW($Q$7:$Q$165))+1,""),""),ROW()-ROW(A$167)+1))),),"")</f>
        <v>0</v>
      </c>
      <c r="W308">
        <f t="array" ref="W308">IFERROR(CONCATENATE((INDEX($Z$7:$Z$165,SMALL(IF($Z$7:$Z$165&lt;&gt;"",IF($W$7:$W$165&lt;&gt;"",ROW($W$7:$W$165)-MIN(ROW($W$7:$W$165))+1,""),""),ROW()-ROW(A$167)+1))),","),"")</f>
        <v>0</v>
      </c>
      <c r="X308">
        <f t="array" ref="X308">IFERROR(CONCATENATE(TEXT(INDEX($W$7:$W$165,SMALL(IF($Z$7:$Z$165&lt;&gt;"",IF($W$7:$W$165&lt;&gt;"",ROW($W$7:$W$165)-MIN(ROW($W$7:$W$165))+1,""),""),ROW()-ROW(A$167)+1)),"##0"),","),"")</f>
        <v>0</v>
      </c>
      <c r="Y308">
        <f t="array" ref="Y308">IFERROR(CONCATENATE((INDEX($A$7:$A$165,SMALL(IF($Z$7:$Z$165&lt;&gt;"",IF($W$7:$W$165&lt;&gt;"",ROW($W$7:$W$165)-MIN(ROW($W$7:$W$165))+1,""),""),ROW()-ROW(A$167)+1))),),"")</f>
        <v>0</v>
      </c>
    </row>
    <row r="309" spans="11:25">
      <c r="K309">
        <f t="array" ref="K309">IFERROR(CONCATENATE(TEXT(INDEX($K$7:$K$165,SMALL(IF($N$7:$N$165&lt;&gt;"",IF($K$7:$K$165&lt;&gt;"",ROW($K$7:$K$165)-MIN(ROW($K$7:$K$165))+1,""),""),ROW()-ROW(A$167)+1)),"##0"),","),"")</f>
        <v>0</v>
      </c>
      <c r="L309">
        <f t="array" ref="L309">IFERROR(CONCATENATE((INDEX($N$7:$N$165,SMALL(IF($N$7:$N$165&lt;&gt;"",IF($K$7:$K$165&lt;&gt;"",ROW($K$7:$K$165)-MIN(ROW($K$7:$K$165))+1,""),""),ROW()-ROW(A$167)+1))),","),"")</f>
        <v>0</v>
      </c>
      <c r="M309">
        <f t="array" ref="M309">IFERROR(CONCATENATE((INDEX($A$7:$A$165,SMALL(IF($N$7:$N$165&lt;&gt;"",IF($K$7:$K$165&lt;&gt;"",ROW($K$7:$K$165)-MIN(ROW($K$7:$K$165))+1,""),""),ROW()-ROW(A$167)+1))),),"")</f>
        <v>0</v>
      </c>
      <c r="Q309">
        <f t="array" ref="Q309">IFERROR(CONCATENATE((INDEX($T$7:$T$165,SMALL(IF($T$7:$T$165&lt;&gt;"",IF($Q$7:$Q$165&lt;&gt;"",ROW($Q$7:$Q$165)-MIN(ROW($Q$7:$Q$165))+1,""),""),ROW()-ROW(A$167)+1)))," "),"")</f>
        <v>0</v>
      </c>
      <c r="R309">
        <f t="array" ref="R309">IFERROR(CONCATENATE(TEXT(INDEX($Q$7:$Q$165,SMALL(IF($T$7:$T$165&lt;&gt;"",IF($Q$7:$Q$165&lt;&gt;"",ROW($Q$7:$Q$165)-MIN(ROW($Q$7:$Q$165))+1,""),""),ROW()-ROW(A$167)+1)),"##0")," "),"")</f>
        <v>0</v>
      </c>
      <c r="S309">
        <f t="array" ref="S309">IFERROR(CONCATENATE((INDEX($A$7:$A$165,SMALL(IF($T$7:$T$165&lt;&gt;"",IF($Q$7:$Q$165&lt;&gt;"",ROW($Q$7:$Q$165)-MIN(ROW($Q$7:$Q$165))+1,""),""),ROW()-ROW(A$167)+1))),),"")</f>
        <v>0</v>
      </c>
      <c r="W309">
        <f t="array" ref="W309">IFERROR(CONCATENATE((INDEX($Z$7:$Z$165,SMALL(IF($Z$7:$Z$165&lt;&gt;"",IF($W$7:$W$165&lt;&gt;"",ROW($W$7:$W$165)-MIN(ROW($W$7:$W$165))+1,""),""),ROW()-ROW(A$167)+1))),","),"")</f>
        <v>0</v>
      </c>
      <c r="X309">
        <f t="array" ref="X309">IFERROR(CONCATENATE(TEXT(INDEX($W$7:$W$165,SMALL(IF($Z$7:$Z$165&lt;&gt;"",IF($W$7:$W$165&lt;&gt;"",ROW($W$7:$W$165)-MIN(ROW($W$7:$W$165))+1,""),""),ROW()-ROW(A$167)+1)),"##0"),","),"")</f>
        <v>0</v>
      </c>
      <c r="Y309">
        <f t="array" ref="Y309">IFERROR(CONCATENATE((INDEX($A$7:$A$165,SMALL(IF($Z$7:$Z$165&lt;&gt;"",IF($W$7:$W$165&lt;&gt;"",ROW($W$7:$W$165)-MIN(ROW($W$7:$W$165))+1,""),""),ROW()-ROW(A$167)+1))),),"")</f>
        <v>0</v>
      </c>
    </row>
    <row r="310" spans="11:25">
      <c r="K310">
        <f t="array" ref="K310">IFERROR(CONCATENATE(TEXT(INDEX($K$7:$K$165,SMALL(IF($N$7:$N$165&lt;&gt;"",IF($K$7:$K$165&lt;&gt;"",ROW($K$7:$K$165)-MIN(ROW($K$7:$K$165))+1,""),""),ROW()-ROW(A$167)+1)),"##0"),","),"")</f>
        <v>0</v>
      </c>
      <c r="L310">
        <f t="array" ref="L310">IFERROR(CONCATENATE((INDEX($N$7:$N$165,SMALL(IF($N$7:$N$165&lt;&gt;"",IF($K$7:$K$165&lt;&gt;"",ROW($K$7:$K$165)-MIN(ROW($K$7:$K$165))+1,""),""),ROW()-ROW(A$167)+1))),","),"")</f>
        <v>0</v>
      </c>
      <c r="M310">
        <f t="array" ref="M310">IFERROR(CONCATENATE((INDEX($A$7:$A$165,SMALL(IF($N$7:$N$165&lt;&gt;"",IF($K$7:$K$165&lt;&gt;"",ROW($K$7:$K$165)-MIN(ROW($K$7:$K$165))+1,""),""),ROW()-ROW(A$167)+1))),),"")</f>
        <v>0</v>
      </c>
      <c r="Q310">
        <f t="array" ref="Q310">IFERROR(CONCATENATE((INDEX($T$7:$T$165,SMALL(IF($T$7:$T$165&lt;&gt;"",IF($Q$7:$Q$165&lt;&gt;"",ROW($Q$7:$Q$165)-MIN(ROW($Q$7:$Q$165))+1,""),""),ROW()-ROW(A$167)+1)))," "),"")</f>
        <v>0</v>
      </c>
      <c r="R310">
        <f t="array" ref="R310">IFERROR(CONCATENATE(TEXT(INDEX($Q$7:$Q$165,SMALL(IF($T$7:$T$165&lt;&gt;"",IF($Q$7:$Q$165&lt;&gt;"",ROW($Q$7:$Q$165)-MIN(ROW($Q$7:$Q$165))+1,""),""),ROW()-ROW(A$167)+1)),"##0")," "),"")</f>
        <v>0</v>
      </c>
      <c r="S310">
        <f t="array" ref="S310">IFERROR(CONCATENATE((INDEX($A$7:$A$165,SMALL(IF($T$7:$T$165&lt;&gt;"",IF($Q$7:$Q$165&lt;&gt;"",ROW($Q$7:$Q$165)-MIN(ROW($Q$7:$Q$165))+1,""),""),ROW()-ROW(A$167)+1))),),"")</f>
        <v>0</v>
      </c>
      <c r="W310">
        <f t="array" ref="W310">IFERROR(CONCATENATE((INDEX($Z$7:$Z$165,SMALL(IF($Z$7:$Z$165&lt;&gt;"",IF($W$7:$W$165&lt;&gt;"",ROW($W$7:$W$165)-MIN(ROW($W$7:$W$165))+1,""),""),ROW()-ROW(A$167)+1))),","),"")</f>
        <v>0</v>
      </c>
      <c r="X310">
        <f t="array" ref="X310">IFERROR(CONCATENATE(TEXT(INDEX($W$7:$W$165,SMALL(IF($Z$7:$Z$165&lt;&gt;"",IF($W$7:$W$165&lt;&gt;"",ROW($W$7:$W$165)-MIN(ROW($W$7:$W$165))+1,""),""),ROW()-ROW(A$167)+1)),"##0"),","),"")</f>
        <v>0</v>
      </c>
      <c r="Y310">
        <f t="array" ref="Y310">IFERROR(CONCATENATE((INDEX($A$7:$A$165,SMALL(IF($Z$7:$Z$165&lt;&gt;"",IF($W$7:$W$165&lt;&gt;"",ROW($W$7:$W$165)-MIN(ROW($W$7:$W$165))+1,""),""),ROW()-ROW(A$167)+1))),),"")</f>
        <v>0</v>
      </c>
    </row>
    <row r="311" spans="11:25">
      <c r="K311">
        <f t="array" ref="K311">IFERROR(CONCATENATE(TEXT(INDEX($K$7:$K$165,SMALL(IF($N$7:$N$165&lt;&gt;"",IF($K$7:$K$165&lt;&gt;"",ROW($K$7:$K$165)-MIN(ROW($K$7:$K$165))+1,""),""),ROW()-ROW(A$167)+1)),"##0"),","),"")</f>
        <v>0</v>
      </c>
      <c r="L311">
        <f t="array" ref="L311">IFERROR(CONCATENATE((INDEX($N$7:$N$165,SMALL(IF($N$7:$N$165&lt;&gt;"",IF($K$7:$K$165&lt;&gt;"",ROW($K$7:$K$165)-MIN(ROW($K$7:$K$165))+1,""),""),ROW()-ROW(A$167)+1))),","),"")</f>
        <v>0</v>
      </c>
      <c r="M311">
        <f t="array" ref="M311">IFERROR(CONCATENATE((INDEX($A$7:$A$165,SMALL(IF($N$7:$N$165&lt;&gt;"",IF($K$7:$K$165&lt;&gt;"",ROW($K$7:$K$165)-MIN(ROW($K$7:$K$165))+1,""),""),ROW()-ROW(A$167)+1))),),"")</f>
        <v>0</v>
      </c>
      <c r="Q311">
        <f t="array" ref="Q311">IFERROR(CONCATENATE((INDEX($T$7:$T$165,SMALL(IF($T$7:$T$165&lt;&gt;"",IF($Q$7:$Q$165&lt;&gt;"",ROW($Q$7:$Q$165)-MIN(ROW($Q$7:$Q$165))+1,""),""),ROW()-ROW(A$167)+1)))," "),"")</f>
        <v>0</v>
      </c>
      <c r="R311">
        <f t="array" ref="R311">IFERROR(CONCATENATE(TEXT(INDEX($Q$7:$Q$165,SMALL(IF($T$7:$T$165&lt;&gt;"",IF($Q$7:$Q$165&lt;&gt;"",ROW($Q$7:$Q$165)-MIN(ROW($Q$7:$Q$165))+1,""),""),ROW()-ROW(A$167)+1)),"##0")," "),"")</f>
        <v>0</v>
      </c>
      <c r="S311">
        <f t="array" ref="S311">IFERROR(CONCATENATE((INDEX($A$7:$A$165,SMALL(IF($T$7:$T$165&lt;&gt;"",IF($Q$7:$Q$165&lt;&gt;"",ROW($Q$7:$Q$165)-MIN(ROW($Q$7:$Q$165))+1,""),""),ROW()-ROW(A$167)+1))),),"")</f>
        <v>0</v>
      </c>
      <c r="W311">
        <f t="array" ref="W311">IFERROR(CONCATENATE((INDEX($Z$7:$Z$165,SMALL(IF($Z$7:$Z$165&lt;&gt;"",IF($W$7:$W$165&lt;&gt;"",ROW($W$7:$W$165)-MIN(ROW($W$7:$W$165))+1,""),""),ROW()-ROW(A$167)+1))),","),"")</f>
        <v>0</v>
      </c>
      <c r="X311">
        <f t="array" ref="X311">IFERROR(CONCATENATE(TEXT(INDEX($W$7:$W$165,SMALL(IF($Z$7:$Z$165&lt;&gt;"",IF($W$7:$W$165&lt;&gt;"",ROW($W$7:$W$165)-MIN(ROW($W$7:$W$165))+1,""),""),ROW()-ROW(A$167)+1)),"##0"),","),"")</f>
        <v>0</v>
      </c>
      <c r="Y311">
        <f t="array" ref="Y311">IFERROR(CONCATENATE((INDEX($A$7:$A$165,SMALL(IF($Z$7:$Z$165&lt;&gt;"",IF($W$7:$W$165&lt;&gt;"",ROW($W$7:$W$165)-MIN(ROW($W$7:$W$165))+1,""),""),ROW()-ROW(A$167)+1))),),"")</f>
        <v>0</v>
      </c>
    </row>
    <row r="312" spans="11:25">
      <c r="K312">
        <f t="array" ref="K312">IFERROR(CONCATENATE(TEXT(INDEX($K$7:$K$165,SMALL(IF($N$7:$N$165&lt;&gt;"",IF($K$7:$K$165&lt;&gt;"",ROW($K$7:$K$165)-MIN(ROW($K$7:$K$165))+1,""),""),ROW()-ROW(A$167)+1)),"##0"),","),"")</f>
        <v>0</v>
      </c>
      <c r="L312">
        <f t="array" ref="L312">IFERROR(CONCATENATE((INDEX($N$7:$N$165,SMALL(IF($N$7:$N$165&lt;&gt;"",IF($K$7:$K$165&lt;&gt;"",ROW($K$7:$K$165)-MIN(ROW($K$7:$K$165))+1,""),""),ROW()-ROW(A$167)+1))),","),"")</f>
        <v>0</v>
      </c>
      <c r="M312">
        <f t="array" ref="M312">IFERROR(CONCATENATE((INDEX($A$7:$A$165,SMALL(IF($N$7:$N$165&lt;&gt;"",IF($K$7:$K$165&lt;&gt;"",ROW($K$7:$K$165)-MIN(ROW($K$7:$K$165))+1,""),""),ROW()-ROW(A$167)+1))),),"")</f>
        <v>0</v>
      </c>
      <c r="Q312">
        <f t="array" ref="Q312">IFERROR(CONCATENATE((INDEX($T$7:$T$165,SMALL(IF($T$7:$T$165&lt;&gt;"",IF($Q$7:$Q$165&lt;&gt;"",ROW($Q$7:$Q$165)-MIN(ROW($Q$7:$Q$165))+1,""),""),ROW()-ROW(A$167)+1)))," "),"")</f>
        <v>0</v>
      </c>
      <c r="R312">
        <f t="array" ref="R312">IFERROR(CONCATENATE(TEXT(INDEX($Q$7:$Q$165,SMALL(IF($T$7:$T$165&lt;&gt;"",IF($Q$7:$Q$165&lt;&gt;"",ROW($Q$7:$Q$165)-MIN(ROW($Q$7:$Q$165))+1,""),""),ROW()-ROW(A$167)+1)),"##0")," "),"")</f>
        <v>0</v>
      </c>
      <c r="S312">
        <f t="array" ref="S312">IFERROR(CONCATENATE((INDEX($A$7:$A$165,SMALL(IF($T$7:$T$165&lt;&gt;"",IF($Q$7:$Q$165&lt;&gt;"",ROW($Q$7:$Q$165)-MIN(ROW($Q$7:$Q$165))+1,""),""),ROW()-ROW(A$167)+1))),),"")</f>
        <v>0</v>
      </c>
      <c r="W312">
        <f t="array" ref="W312">IFERROR(CONCATENATE((INDEX($Z$7:$Z$165,SMALL(IF($Z$7:$Z$165&lt;&gt;"",IF($W$7:$W$165&lt;&gt;"",ROW($W$7:$W$165)-MIN(ROW($W$7:$W$165))+1,""),""),ROW()-ROW(A$167)+1))),","),"")</f>
        <v>0</v>
      </c>
      <c r="X312">
        <f t="array" ref="X312">IFERROR(CONCATENATE(TEXT(INDEX($W$7:$W$165,SMALL(IF($Z$7:$Z$165&lt;&gt;"",IF($W$7:$W$165&lt;&gt;"",ROW($W$7:$W$165)-MIN(ROW($W$7:$W$165))+1,""),""),ROW()-ROW(A$167)+1)),"##0"),","),"")</f>
        <v>0</v>
      </c>
      <c r="Y312">
        <f t="array" ref="Y312">IFERROR(CONCATENATE((INDEX($A$7:$A$165,SMALL(IF($Z$7:$Z$165&lt;&gt;"",IF($W$7:$W$165&lt;&gt;"",ROW($W$7:$W$165)-MIN(ROW($W$7:$W$165))+1,""),""),ROW()-ROW(A$167)+1))),),"")</f>
        <v>0</v>
      </c>
    </row>
    <row r="313" spans="11:25">
      <c r="K313">
        <f t="array" ref="K313">IFERROR(CONCATENATE(TEXT(INDEX($K$7:$K$165,SMALL(IF($N$7:$N$165&lt;&gt;"",IF($K$7:$K$165&lt;&gt;"",ROW($K$7:$K$165)-MIN(ROW($K$7:$K$165))+1,""),""),ROW()-ROW(A$167)+1)),"##0"),","),"")</f>
        <v>0</v>
      </c>
      <c r="L313">
        <f t="array" ref="L313">IFERROR(CONCATENATE((INDEX($N$7:$N$165,SMALL(IF($N$7:$N$165&lt;&gt;"",IF($K$7:$K$165&lt;&gt;"",ROW($K$7:$K$165)-MIN(ROW($K$7:$K$165))+1,""),""),ROW()-ROW(A$167)+1))),","),"")</f>
        <v>0</v>
      </c>
      <c r="M313">
        <f t="array" ref="M313">IFERROR(CONCATENATE((INDEX($A$7:$A$165,SMALL(IF($N$7:$N$165&lt;&gt;"",IF($K$7:$K$165&lt;&gt;"",ROW($K$7:$K$165)-MIN(ROW($K$7:$K$165))+1,""),""),ROW()-ROW(A$167)+1))),),"")</f>
        <v>0</v>
      </c>
      <c r="Q313">
        <f t="array" ref="Q313">IFERROR(CONCATENATE((INDEX($T$7:$T$165,SMALL(IF($T$7:$T$165&lt;&gt;"",IF($Q$7:$Q$165&lt;&gt;"",ROW($Q$7:$Q$165)-MIN(ROW($Q$7:$Q$165))+1,""),""),ROW()-ROW(A$167)+1)))," "),"")</f>
        <v>0</v>
      </c>
      <c r="R313">
        <f t="array" ref="R313">IFERROR(CONCATENATE(TEXT(INDEX($Q$7:$Q$165,SMALL(IF($T$7:$T$165&lt;&gt;"",IF($Q$7:$Q$165&lt;&gt;"",ROW($Q$7:$Q$165)-MIN(ROW($Q$7:$Q$165))+1,""),""),ROW()-ROW(A$167)+1)),"##0")," "),"")</f>
        <v>0</v>
      </c>
      <c r="S313">
        <f t="array" ref="S313">IFERROR(CONCATENATE((INDEX($A$7:$A$165,SMALL(IF($T$7:$T$165&lt;&gt;"",IF($Q$7:$Q$165&lt;&gt;"",ROW($Q$7:$Q$165)-MIN(ROW($Q$7:$Q$165))+1,""),""),ROW()-ROW(A$167)+1))),),"")</f>
        <v>0</v>
      </c>
      <c r="W313">
        <f t="array" ref="W313">IFERROR(CONCATENATE((INDEX($Z$7:$Z$165,SMALL(IF($Z$7:$Z$165&lt;&gt;"",IF($W$7:$W$165&lt;&gt;"",ROW($W$7:$W$165)-MIN(ROW($W$7:$W$165))+1,""),""),ROW()-ROW(A$167)+1))),","),"")</f>
        <v>0</v>
      </c>
      <c r="X313">
        <f t="array" ref="X313">IFERROR(CONCATENATE(TEXT(INDEX($W$7:$W$165,SMALL(IF($Z$7:$Z$165&lt;&gt;"",IF($W$7:$W$165&lt;&gt;"",ROW($W$7:$W$165)-MIN(ROW($W$7:$W$165))+1,""),""),ROW()-ROW(A$167)+1)),"##0"),","),"")</f>
        <v>0</v>
      </c>
      <c r="Y313">
        <f t="array" ref="Y313">IFERROR(CONCATENATE((INDEX($A$7:$A$165,SMALL(IF($Z$7:$Z$165&lt;&gt;"",IF($W$7:$W$165&lt;&gt;"",ROW($W$7:$W$165)-MIN(ROW($W$7:$W$165))+1,""),""),ROW()-ROW(A$167)+1))),),"")</f>
        <v>0</v>
      </c>
    </row>
    <row r="314" spans="11:25">
      <c r="K314">
        <f t="array" ref="K314">IFERROR(CONCATENATE(TEXT(INDEX($K$7:$K$165,SMALL(IF($N$7:$N$165&lt;&gt;"",IF($K$7:$K$165&lt;&gt;"",ROW($K$7:$K$165)-MIN(ROW($K$7:$K$165))+1,""),""),ROW()-ROW(A$167)+1)),"##0"),","),"")</f>
        <v>0</v>
      </c>
      <c r="L314">
        <f t="array" ref="L314">IFERROR(CONCATENATE((INDEX($N$7:$N$165,SMALL(IF($N$7:$N$165&lt;&gt;"",IF($K$7:$K$165&lt;&gt;"",ROW($K$7:$K$165)-MIN(ROW($K$7:$K$165))+1,""),""),ROW()-ROW(A$167)+1))),","),"")</f>
        <v>0</v>
      </c>
      <c r="M314">
        <f t="array" ref="M314">IFERROR(CONCATENATE((INDEX($A$7:$A$165,SMALL(IF($N$7:$N$165&lt;&gt;"",IF($K$7:$K$165&lt;&gt;"",ROW($K$7:$K$165)-MIN(ROW($K$7:$K$165))+1,""),""),ROW()-ROW(A$167)+1))),),"")</f>
        <v>0</v>
      </c>
      <c r="Q314">
        <f t="array" ref="Q314">IFERROR(CONCATENATE((INDEX($T$7:$T$165,SMALL(IF($T$7:$T$165&lt;&gt;"",IF($Q$7:$Q$165&lt;&gt;"",ROW($Q$7:$Q$165)-MIN(ROW($Q$7:$Q$165))+1,""),""),ROW()-ROW(A$167)+1)))," "),"")</f>
        <v>0</v>
      </c>
      <c r="R314">
        <f t="array" ref="R314">IFERROR(CONCATENATE(TEXT(INDEX($Q$7:$Q$165,SMALL(IF($T$7:$T$165&lt;&gt;"",IF($Q$7:$Q$165&lt;&gt;"",ROW($Q$7:$Q$165)-MIN(ROW($Q$7:$Q$165))+1,""),""),ROW()-ROW(A$167)+1)),"##0")," "),"")</f>
        <v>0</v>
      </c>
      <c r="S314">
        <f t="array" ref="S314">IFERROR(CONCATENATE((INDEX($A$7:$A$165,SMALL(IF($T$7:$T$165&lt;&gt;"",IF($Q$7:$Q$165&lt;&gt;"",ROW($Q$7:$Q$165)-MIN(ROW($Q$7:$Q$165))+1,""),""),ROW()-ROW(A$167)+1))),),"")</f>
        <v>0</v>
      </c>
      <c r="W314">
        <f t="array" ref="W314">IFERROR(CONCATENATE((INDEX($Z$7:$Z$165,SMALL(IF($Z$7:$Z$165&lt;&gt;"",IF($W$7:$W$165&lt;&gt;"",ROW($W$7:$W$165)-MIN(ROW($W$7:$W$165))+1,""),""),ROW()-ROW(A$167)+1))),","),"")</f>
        <v>0</v>
      </c>
      <c r="X314">
        <f t="array" ref="X314">IFERROR(CONCATENATE(TEXT(INDEX($W$7:$W$165,SMALL(IF($Z$7:$Z$165&lt;&gt;"",IF($W$7:$W$165&lt;&gt;"",ROW($W$7:$W$165)-MIN(ROW($W$7:$W$165))+1,""),""),ROW()-ROW(A$167)+1)),"##0"),","),"")</f>
        <v>0</v>
      </c>
      <c r="Y314">
        <f t="array" ref="Y314">IFERROR(CONCATENATE((INDEX($A$7:$A$165,SMALL(IF($Z$7:$Z$165&lt;&gt;"",IF($W$7:$W$165&lt;&gt;"",ROW($W$7:$W$165)-MIN(ROW($W$7:$W$165))+1,""),""),ROW()-ROW(A$167)+1))),),"")</f>
        <v>0</v>
      </c>
    </row>
    <row r="315" spans="11:25">
      <c r="K315">
        <f t="array" ref="K315">IFERROR(CONCATENATE(TEXT(INDEX($K$7:$K$165,SMALL(IF($N$7:$N$165&lt;&gt;"",IF($K$7:$K$165&lt;&gt;"",ROW($K$7:$K$165)-MIN(ROW($K$7:$K$165))+1,""),""),ROW()-ROW(A$167)+1)),"##0"),","),"")</f>
        <v>0</v>
      </c>
      <c r="L315">
        <f t="array" ref="L315">IFERROR(CONCATENATE((INDEX($N$7:$N$165,SMALL(IF($N$7:$N$165&lt;&gt;"",IF($K$7:$K$165&lt;&gt;"",ROW($K$7:$K$165)-MIN(ROW($K$7:$K$165))+1,""),""),ROW()-ROW(A$167)+1))),","),"")</f>
        <v>0</v>
      </c>
      <c r="M315">
        <f t="array" ref="M315">IFERROR(CONCATENATE((INDEX($A$7:$A$165,SMALL(IF($N$7:$N$165&lt;&gt;"",IF($K$7:$K$165&lt;&gt;"",ROW($K$7:$K$165)-MIN(ROW($K$7:$K$165))+1,""),""),ROW()-ROW(A$167)+1))),),"")</f>
        <v>0</v>
      </c>
      <c r="Q315">
        <f t="array" ref="Q315">IFERROR(CONCATENATE((INDEX($T$7:$T$165,SMALL(IF($T$7:$T$165&lt;&gt;"",IF($Q$7:$Q$165&lt;&gt;"",ROW($Q$7:$Q$165)-MIN(ROW($Q$7:$Q$165))+1,""),""),ROW()-ROW(A$167)+1)))," "),"")</f>
        <v>0</v>
      </c>
      <c r="R315">
        <f t="array" ref="R315">IFERROR(CONCATENATE(TEXT(INDEX($Q$7:$Q$165,SMALL(IF($T$7:$T$165&lt;&gt;"",IF($Q$7:$Q$165&lt;&gt;"",ROW($Q$7:$Q$165)-MIN(ROW($Q$7:$Q$165))+1,""),""),ROW()-ROW(A$167)+1)),"##0")," "),"")</f>
        <v>0</v>
      </c>
      <c r="S315">
        <f t="array" ref="S315">IFERROR(CONCATENATE((INDEX($A$7:$A$165,SMALL(IF($T$7:$T$165&lt;&gt;"",IF($Q$7:$Q$165&lt;&gt;"",ROW($Q$7:$Q$165)-MIN(ROW($Q$7:$Q$165))+1,""),""),ROW()-ROW(A$167)+1))),),"")</f>
        <v>0</v>
      </c>
      <c r="W315">
        <f t="array" ref="W315">IFERROR(CONCATENATE((INDEX($Z$7:$Z$165,SMALL(IF($Z$7:$Z$165&lt;&gt;"",IF($W$7:$W$165&lt;&gt;"",ROW($W$7:$W$165)-MIN(ROW($W$7:$W$165))+1,""),""),ROW()-ROW(A$167)+1))),","),"")</f>
        <v>0</v>
      </c>
      <c r="X315">
        <f t="array" ref="X315">IFERROR(CONCATENATE(TEXT(INDEX($W$7:$W$165,SMALL(IF($Z$7:$Z$165&lt;&gt;"",IF($W$7:$W$165&lt;&gt;"",ROW($W$7:$W$165)-MIN(ROW($W$7:$W$165))+1,""),""),ROW()-ROW(A$167)+1)),"##0"),","),"")</f>
        <v>0</v>
      </c>
      <c r="Y315">
        <f t="array" ref="Y315">IFERROR(CONCATENATE((INDEX($A$7:$A$165,SMALL(IF($Z$7:$Z$165&lt;&gt;"",IF($W$7:$W$165&lt;&gt;"",ROW($W$7:$W$165)-MIN(ROW($W$7:$W$165))+1,""),""),ROW()-ROW(A$167)+1))),),"")</f>
        <v>0</v>
      </c>
    </row>
    <row r="316" spans="11:25">
      <c r="K316">
        <f t="array" ref="K316">IFERROR(CONCATENATE(TEXT(INDEX($K$7:$K$165,SMALL(IF($N$7:$N$165&lt;&gt;"",IF($K$7:$K$165&lt;&gt;"",ROW($K$7:$K$165)-MIN(ROW($K$7:$K$165))+1,""),""),ROW()-ROW(A$167)+1)),"##0"),","),"")</f>
        <v>0</v>
      </c>
      <c r="L316">
        <f t="array" ref="L316">IFERROR(CONCATENATE((INDEX($N$7:$N$165,SMALL(IF($N$7:$N$165&lt;&gt;"",IF($K$7:$K$165&lt;&gt;"",ROW($K$7:$K$165)-MIN(ROW($K$7:$K$165))+1,""),""),ROW()-ROW(A$167)+1))),","),"")</f>
        <v>0</v>
      </c>
      <c r="M316">
        <f t="array" ref="M316">IFERROR(CONCATENATE((INDEX($A$7:$A$165,SMALL(IF($N$7:$N$165&lt;&gt;"",IF($K$7:$K$165&lt;&gt;"",ROW($K$7:$K$165)-MIN(ROW($K$7:$K$165))+1,""),""),ROW()-ROW(A$167)+1))),),"")</f>
        <v>0</v>
      </c>
      <c r="Q316">
        <f t="array" ref="Q316">IFERROR(CONCATENATE((INDEX($T$7:$T$165,SMALL(IF($T$7:$T$165&lt;&gt;"",IF($Q$7:$Q$165&lt;&gt;"",ROW($Q$7:$Q$165)-MIN(ROW($Q$7:$Q$165))+1,""),""),ROW()-ROW(A$167)+1)))," "),"")</f>
        <v>0</v>
      </c>
      <c r="R316">
        <f t="array" ref="R316">IFERROR(CONCATENATE(TEXT(INDEX($Q$7:$Q$165,SMALL(IF($T$7:$T$165&lt;&gt;"",IF($Q$7:$Q$165&lt;&gt;"",ROW($Q$7:$Q$165)-MIN(ROW($Q$7:$Q$165))+1,""),""),ROW()-ROW(A$167)+1)),"##0")," "),"")</f>
        <v>0</v>
      </c>
      <c r="S316">
        <f t="array" ref="S316">IFERROR(CONCATENATE((INDEX($A$7:$A$165,SMALL(IF($T$7:$T$165&lt;&gt;"",IF($Q$7:$Q$165&lt;&gt;"",ROW($Q$7:$Q$165)-MIN(ROW($Q$7:$Q$165))+1,""),""),ROW()-ROW(A$167)+1))),),"")</f>
        <v>0</v>
      </c>
      <c r="W316">
        <f t="array" ref="W316">IFERROR(CONCATENATE((INDEX($Z$7:$Z$165,SMALL(IF($Z$7:$Z$165&lt;&gt;"",IF($W$7:$W$165&lt;&gt;"",ROW($W$7:$W$165)-MIN(ROW($W$7:$W$165))+1,""),""),ROW()-ROW(A$167)+1))),","),"")</f>
        <v>0</v>
      </c>
      <c r="X316">
        <f t="array" ref="X316">IFERROR(CONCATENATE(TEXT(INDEX($W$7:$W$165,SMALL(IF($Z$7:$Z$165&lt;&gt;"",IF($W$7:$W$165&lt;&gt;"",ROW($W$7:$W$165)-MIN(ROW($W$7:$W$165))+1,""),""),ROW()-ROW(A$167)+1)),"##0"),","),"")</f>
        <v>0</v>
      </c>
      <c r="Y316">
        <f t="array" ref="Y316">IFERROR(CONCATENATE((INDEX($A$7:$A$165,SMALL(IF($Z$7:$Z$165&lt;&gt;"",IF($W$7:$W$165&lt;&gt;"",ROW($W$7:$W$165)-MIN(ROW($W$7:$W$165))+1,""),""),ROW()-ROW(A$167)+1))),),"")</f>
        <v>0</v>
      </c>
    </row>
    <row r="317" spans="11:25">
      <c r="K317">
        <f t="array" ref="K317">IFERROR(CONCATENATE(TEXT(INDEX($K$7:$K$165,SMALL(IF($N$7:$N$165&lt;&gt;"",IF($K$7:$K$165&lt;&gt;"",ROW($K$7:$K$165)-MIN(ROW($K$7:$K$165))+1,""),""),ROW()-ROW(A$167)+1)),"##0"),","),"")</f>
        <v>0</v>
      </c>
      <c r="L317">
        <f t="array" ref="L317">IFERROR(CONCATENATE((INDEX($N$7:$N$165,SMALL(IF($N$7:$N$165&lt;&gt;"",IF($K$7:$K$165&lt;&gt;"",ROW($K$7:$K$165)-MIN(ROW($K$7:$K$165))+1,""),""),ROW()-ROW(A$167)+1))),","),"")</f>
        <v>0</v>
      </c>
      <c r="M317">
        <f t="array" ref="M317">IFERROR(CONCATENATE((INDEX($A$7:$A$165,SMALL(IF($N$7:$N$165&lt;&gt;"",IF($K$7:$K$165&lt;&gt;"",ROW($K$7:$K$165)-MIN(ROW($K$7:$K$165))+1,""),""),ROW()-ROW(A$167)+1))),),"")</f>
        <v>0</v>
      </c>
      <c r="Q317">
        <f t="array" ref="Q317">IFERROR(CONCATENATE((INDEX($T$7:$T$165,SMALL(IF($T$7:$T$165&lt;&gt;"",IF($Q$7:$Q$165&lt;&gt;"",ROW($Q$7:$Q$165)-MIN(ROW($Q$7:$Q$165))+1,""),""),ROW()-ROW(A$167)+1)))," "),"")</f>
        <v>0</v>
      </c>
      <c r="R317">
        <f t="array" ref="R317">IFERROR(CONCATENATE(TEXT(INDEX($Q$7:$Q$165,SMALL(IF($T$7:$T$165&lt;&gt;"",IF($Q$7:$Q$165&lt;&gt;"",ROW($Q$7:$Q$165)-MIN(ROW($Q$7:$Q$165))+1,""),""),ROW()-ROW(A$167)+1)),"##0")," "),"")</f>
        <v>0</v>
      </c>
      <c r="S317">
        <f t="array" ref="S317">IFERROR(CONCATENATE((INDEX($A$7:$A$165,SMALL(IF($T$7:$T$165&lt;&gt;"",IF($Q$7:$Q$165&lt;&gt;"",ROW($Q$7:$Q$165)-MIN(ROW($Q$7:$Q$165))+1,""),""),ROW()-ROW(A$167)+1))),),"")</f>
        <v>0</v>
      </c>
      <c r="W317">
        <f t="array" ref="W317">IFERROR(CONCATENATE((INDEX($Z$7:$Z$165,SMALL(IF($Z$7:$Z$165&lt;&gt;"",IF($W$7:$W$165&lt;&gt;"",ROW($W$7:$W$165)-MIN(ROW($W$7:$W$165))+1,""),""),ROW()-ROW(A$167)+1))),","),"")</f>
        <v>0</v>
      </c>
      <c r="X317">
        <f t="array" ref="X317">IFERROR(CONCATENATE(TEXT(INDEX($W$7:$W$165,SMALL(IF($Z$7:$Z$165&lt;&gt;"",IF($W$7:$W$165&lt;&gt;"",ROW($W$7:$W$165)-MIN(ROW($W$7:$W$165))+1,""),""),ROW()-ROW(A$167)+1)),"##0"),","),"")</f>
        <v>0</v>
      </c>
      <c r="Y317">
        <f t="array" ref="Y317">IFERROR(CONCATENATE((INDEX($A$7:$A$165,SMALL(IF($Z$7:$Z$165&lt;&gt;"",IF($W$7:$W$165&lt;&gt;"",ROW($W$7:$W$165)-MIN(ROW($W$7:$W$165))+1,""),""),ROW()-ROW(A$167)+1))),),"")</f>
        <v>0</v>
      </c>
    </row>
    <row r="318" spans="11:25">
      <c r="K318">
        <f t="array" ref="K318">IFERROR(CONCATENATE(TEXT(INDEX($K$7:$K$165,SMALL(IF($N$7:$N$165&lt;&gt;"",IF($K$7:$K$165&lt;&gt;"",ROW($K$7:$K$165)-MIN(ROW($K$7:$K$165))+1,""),""),ROW()-ROW(A$167)+1)),"##0"),","),"")</f>
        <v>0</v>
      </c>
      <c r="L318">
        <f t="array" ref="L318">IFERROR(CONCATENATE((INDEX($N$7:$N$165,SMALL(IF($N$7:$N$165&lt;&gt;"",IF($K$7:$K$165&lt;&gt;"",ROW($K$7:$K$165)-MIN(ROW($K$7:$K$165))+1,""),""),ROW()-ROW(A$167)+1))),","),"")</f>
        <v>0</v>
      </c>
      <c r="M318">
        <f t="array" ref="M318">IFERROR(CONCATENATE((INDEX($A$7:$A$165,SMALL(IF($N$7:$N$165&lt;&gt;"",IF($K$7:$K$165&lt;&gt;"",ROW($K$7:$K$165)-MIN(ROW($K$7:$K$165))+1,""),""),ROW()-ROW(A$167)+1))),),"")</f>
        <v>0</v>
      </c>
      <c r="Q318">
        <f t="array" ref="Q318">IFERROR(CONCATENATE((INDEX($T$7:$T$165,SMALL(IF($T$7:$T$165&lt;&gt;"",IF($Q$7:$Q$165&lt;&gt;"",ROW($Q$7:$Q$165)-MIN(ROW($Q$7:$Q$165))+1,""),""),ROW()-ROW(A$167)+1)))," "),"")</f>
        <v>0</v>
      </c>
      <c r="R318">
        <f t="array" ref="R318">IFERROR(CONCATENATE(TEXT(INDEX($Q$7:$Q$165,SMALL(IF($T$7:$T$165&lt;&gt;"",IF($Q$7:$Q$165&lt;&gt;"",ROW($Q$7:$Q$165)-MIN(ROW($Q$7:$Q$165))+1,""),""),ROW()-ROW(A$167)+1)),"##0")," "),"")</f>
        <v>0</v>
      </c>
      <c r="S318">
        <f t="array" ref="S318">IFERROR(CONCATENATE((INDEX($A$7:$A$165,SMALL(IF($T$7:$T$165&lt;&gt;"",IF($Q$7:$Q$165&lt;&gt;"",ROW($Q$7:$Q$165)-MIN(ROW($Q$7:$Q$165))+1,""),""),ROW()-ROW(A$167)+1))),),"")</f>
        <v>0</v>
      </c>
      <c r="W318">
        <f t="array" ref="W318">IFERROR(CONCATENATE((INDEX($Z$7:$Z$165,SMALL(IF($Z$7:$Z$165&lt;&gt;"",IF($W$7:$W$165&lt;&gt;"",ROW($W$7:$W$165)-MIN(ROW($W$7:$W$165))+1,""),""),ROW()-ROW(A$167)+1))),","),"")</f>
        <v>0</v>
      </c>
      <c r="X318">
        <f t="array" ref="X318">IFERROR(CONCATENATE(TEXT(INDEX($W$7:$W$165,SMALL(IF($Z$7:$Z$165&lt;&gt;"",IF($W$7:$W$165&lt;&gt;"",ROW($W$7:$W$165)-MIN(ROW($W$7:$W$165))+1,""),""),ROW()-ROW(A$167)+1)),"##0"),","),"")</f>
        <v>0</v>
      </c>
      <c r="Y318">
        <f t="array" ref="Y318">IFERROR(CONCATENATE((INDEX($A$7:$A$165,SMALL(IF($Z$7:$Z$165&lt;&gt;"",IF($W$7:$W$165&lt;&gt;"",ROW($W$7:$W$165)-MIN(ROW($W$7:$W$165))+1,""),""),ROW()-ROW(A$167)+1))),),"")</f>
        <v>0</v>
      </c>
    </row>
    <row r="319" spans="11:25">
      <c r="K319">
        <f t="array" ref="K319">IFERROR(CONCATENATE(TEXT(INDEX($K$7:$K$165,SMALL(IF($N$7:$N$165&lt;&gt;"",IF($K$7:$K$165&lt;&gt;"",ROW($K$7:$K$165)-MIN(ROW($K$7:$K$165))+1,""),""),ROW()-ROW(A$167)+1)),"##0"),","),"")</f>
        <v>0</v>
      </c>
      <c r="L319">
        <f t="array" ref="L319">IFERROR(CONCATENATE((INDEX($N$7:$N$165,SMALL(IF($N$7:$N$165&lt;&gt;"",IF($K$7:$K$165&lt;&gt;"",ROW($K$7:$K$165)-MIN(ROW($K$7:$K$165))+1,""),""),ROW()-ROW(A$167)+1))),","),"")</f>
        <v>0</v>
      </c>
      <c r="M319">
        <f t="array" ref="M319">IFERROR(CONCATENATE((INDEX($A$7:$A$165,SMALL(IF($N$7:$N$165&lt;&gt;"",IF($K$7:$K$165&lt;&gt;"",ROW($K$7:$K$165)-MIN(ROW($K$7:$K$165))+1,""),""),ROW()-ROW(A$167)+1))),),"")</f>
        <v>0</v>
      </c>
      <c r="Q319">
        <f t="array" ref="Q319">IFERROR(CONCATENATE((INDEX($T$7:$T$165,SMALL(IF($T$7:$T$165&lt;&gt;"",IF($Q$7:$Q$165&lt;&gt;"",ROW($Q$7:$Q$165)-MIN(ROW($Q$7:$Q$165))+1,""),""),ROW()-ROW(A$167)+1)))," "),"")</f>
        <v>0</v>
      </c>
      <c r="R319">
        <f t="array" ref="R319">IFERROR(CONCATENATE(TEXT(INDEX($Q$7:$Q$165,SMALL(IF($T$7:$T$165&lt;&gt;"",IF($Q$7:$Q$165&lt;&gt;"",ROW($Q$7:$Q$165)-MIN(ROW($Q$7:$Q$165))+1,""),""),ROW()-ROW(A$167)+1)),"##0")," "),"")</f>
        <v>0</v>
      </c>
      <c r="S319">
        <f t="array" ref="S319">IFERROR(CONCATENATE((INDEX($A$7:$A$165,SMALL(IF($T$7:$T$165&lt;&gt;"",IF($Q$7:$Q$165&lt;&gt;"",ROW($Q$7:$Q$165)-MIN(ROW($Q$7:$Q$165))+1,""),""),ROW()-ROW(A$167)+1))),),"")</f>
        <v>0</v>
      </c>
      <c r="W319">
        <f t="array" ref="W319">IFERROR(CONCATENATE((INDEX($Z$7:$Z$165,SMALL(IF($Z$7:$Z$165&lt;&gt;"",IF($W$7:$W$165&lt;&gt;"",ROW($W$7:$W$165)-MIN(ROW($W$7:$W$165))+1,""),""),ROW()-ROW(A$167)+1))),","),"")</f>
        <v>0</v>
      </c>
      <c r="X319">
        <f t="array" ref="X319">IFERROR(CONCATENATE(TEXT(INDEX($W$7:$W$165,SMALL(IF($Z$7:$Z$165&lt;&gt;"",IF($W$7:$W$165&lt;&gt;"",ROW($W$7:$W$165)-MIN(ROW($W$7:$W$165))+1,""),""),ROW()-ROW(A$167)+1)),"##0"),","),"")</f>
        <v>0</v>
      </c>
      <c r="Y319">
        <f t="array" ref="Y319">IFERROR(CONCATENATE((INDEX($A$7:$A$165,SMALL(IF($Z$7:$Z$165&lt;&gt;"",IF($W$7:$W$165&lt;&gt;"",ROW($W$7:$W$165)-MIN(ROW($W$7:$W$165))+1,""),""),ROW()-ROW(A$167)+1))),),"")</f>
        <v>0</v>
      </c>
    </row>
    <row r="320" spans="11:25">
      <c r="K320">
        <f t="array" ref="K320">IFERROR(CONCATENATE(TEXT(INDEX($K$7:$K$165,SMALL(IF($N$7:$N$165&lt;&gt;"",IF($K$7:$K$165&lt;&gt;"",ROW($K$7:$K$165)-MIN(ROW($K$7:$K$165))+1,""),""),ROW()-ROW(A$167)+1)),"##0"),","),"")</f>
        <v>0</v>
      </c>
      <c r="L320">
        <f t="array" ref="L320">IFERROR(CONCATENATE((INDEX($N$7:$N$165,SMALL(IF($N$7:$N$165&lt;&gt;"",IF($K$7:$K$165&lt;&gt;"",ROW($K$7:$K$165)-MIN(ROW($K$7:$K$165))+1,""),""),ROW()-ROW(A$167)+1))),","),"")</f>
        <v>0</v>
      </c>
      <c r="M320">
        <f t="array" ref="M320">IFERROR(CONCATENATE((INDEX($A$7:$A$165,SMALL(IF($N$7:$N$165&lt;&gt;"",IF($K$7:$K$165&lt;&gt;"",ROW($K$7:$K$165)-MIN(ROW($K$7:$K$165))+1,""),""),ROW()-ROW(A$167)+1))),),"")</f>
        <v>0</v>
      </c>
      <c r="Q320">
        <f t="array" ref="Q320">IFERROR(CONCATENATE((INDEX($T$7:$T$165,SMALL(IF($T$7:$T$165&lt;&gt;"",IF($Q$7:$Q$165&lt;&gt;"",ROW($Q$7:$Q$165)-MIN(ROW($Q$7:$Q$165))+1,""),""),ROW()-ROW(A$167)+1)))," "),"")</f>
        <v>0</v>
      </c>
      <c r="R320">
        <f t="array" ref="R320">IFERROR(CONCATENATE(TEXT(INDEX($Q$7:$Q$165,SMALL(IF($T$7:$T$165&lt;&gt;"",IF($Q$7:$Q$165&lt;&gt;"",ROW($Q$7:$Q$165)-MIN(ROW($Q$7:$Q$165))+1,""),""),ROW()-ROW(A$167)+1)),"##0")," "),"")</f>
        <v>0</v>
      </c>
      <c r="S320">
        <f t="array" ref="S320">IFERROR(CONCATENATE((INDEX($A$7:$A$165,SMALL(IF($T$7:$T$165&lt;&gt;"",IF($Q$7:$Q$165&lt;&gt;"",ROW($Q$7:$Q$165)-MIN(ROW($Q$7:$Q$165))+1,""),""),ROW()-ROW(A$167)+1))),),"")</f>
        <v>0</v>
      </c>
      <c r="W320">
        <f t="array" ref="W320">IFERROR(CONCATENATE((INDEX($Z$7:$Z$165,SMALL(IF($Z$7:$Z$165&lt;&gt;"",IF($W$7:$W$165&lt;&gt;"",ROW($W$7:$W$165)-MIN(ROW($W$7:$W$165))+1,""),""),ROW()-ROW(A$167)+1))),","),"")</f>
        <v>0</v>
      </c>
      <c r="X320">
        <f t="array" ref="X320">IFERROR(CONCATENATE(TEXT(INDEX($W$7:$W$165,SMALL(IF($Z$7:$Z$165&lt;&gt;"",IF($W$7:$W$165&lt;&gt;"",ROW($W$7:$W$165)-MIN(ROW($W$7:$W$165))+1,""),""),ROW()-ROW(A$167)+1)),"##0"),","),"")</f>
        <v>0</v>
      </c>
      <c r="Y320">
        <f t="array" ref="Y320">IFERROR(CONCATENATE((INDEX($A$7:$A$165,SMALL(IF($Z$7:$Z$165&lt;&gt;"",IF($W$7:$W$165&lt;&gt;"",ROW($W$7:$W$165)-MIN(ROW($W$7:$W$165))+1,""),""),ROW()-ROW(A$167)+1))),),"")</f>
        <v>0</v>
      </c>
    </row>
    <row r="321" spans="11:25">
      <c r="K321">
        <f t="array" ref="K321">IFERROR(CONCATENATE(TEXT(INDEX($K$7:$K$165,SMALL(IF($N$7:$N$165&lt;&gt;"",IF($K$7:$K$165&lt;&gt;"",ROW($K$7:$K$165)-MIN(ROW($K$7:$K$165))+1,""),""),ROW()-ROW(A$167)+1)),"##0"),","),"")</f>
        <v>0</v>
      </c>
      <c r="L321">
        <f t="array" ref="L321">IFERROR(CONCATENATE((INDEX($N$7:$N$165,SMALL(IF($N$7:$N$165&lt;&gt;"",IF($K$7:$K$165&lt;&gt;"",ROW($K$7:$K$165)-MIN(ROW($K$7:$K$165))+1,""),""),ROW()-ROW(A$167)+1))),","),"")</f>
        <v>0</v>
      </c>
      <c r="M321">
        <f t="array" ref="M321">IFERROR(CONCATENATE((INDEX($A$7:$A$165,SMALL(IF($N$7:$N$165&lt;&gt;"",IF($K$7:$K$165&lt;&gt;"",ROW($K$7:$K$165)-MIN(ROW($K$7:$K$165))+1,""),""),ROW()-ROW(A$167)+1))),),"")</f>
        <v>0</v>
      </c>
      <c r="Q321">
        <f t="array" ref="Q321">IFERROR(CONCATENATE((INDEX($T$7:$T$165,SMALL(IF($T$7:$T$165&lt;&gt;"",IF($Q$7:$Q$165&lt;&gt;"",ROW($Q$7:$Q$165)-MIN(ROW($Q$7:$Q$165))+1,""),""),ROW()-ROW(A$167)+1)))," "),"")</f>
        <v>0</v>
      </c>
      <c r="R321">
        <f t="array" ref="R321">IFERROR(CONCATENATE(TEXT(INDEX($Q$7:$Q$165,SMALL(IF($T$7:$T$165&lt;&gt;"",IF($Q$7:$Q$165&lt;&gt;"",ROW($Q$7:$Q$165)-MIN(ROW($Q$7:$Q$165))+1,""),""),ROW()-ROW(A$167)+1)),"##0")," "),"")</f>
        <v>0</v>
      </c>
      <c r="S321">
        <f t="array" ref="S321">IFERROR(CONCATENATE((INDEX($A$7:$A$165,SMALL(IF($T$7:$T$165&lt;&gt;"",IF($Q$7:$Q$165&lt;&gt;"",ROW($Q$7:$Q$165)-MIN(ROW($Q$7:$Q$165))+1,""),""),ROW()-ROW(A$167)+1))),),"")</f>
        <v>0</v>
      </c>
      <c r="W321">
        <f t="array" ref="W321">IFERROR(CONCATENATE((INDEX($Z$7:$Z$165,SMALL(IF($Z$7:$Z$165&lt;&gt;"",IF($W$7:$W$165&lt;&gt;"",ROW($W$7:$W$165)-MIN(ROW($W$7:$W$165))+1,""),""),ROW()-ROW(A$167)+1))),","),"")</f>
        <v>0</v>
      </c>
      <c r="X321">
        <f t="array" ref="X321">IFERROR(CONCATENATE(TEXT(INDEX($W$7:$W$165,SMALL(IF($Z$7:$Z$165&lt;&gt;"",IF($W$7:$W$165&lt;&gt;"",ROW($W$7:$W$165)-MIN(ROW($W$7:$W$165))+1,""),""),ROW()-ROW(A$167)+1)),"##0"),","),"")</f>
        <v>0</v>
      </c>
      <c r="Y321">
        <f t="array" ref="Y321">IFERROR(CONCATENATE((INDEX($A$7:$A$165,SMALL(IF($Z$7:$Z$165&lt;&gt;"",IF($W$7:$W$165&lt;&gt;"",ROW($W$7:$W$165)-MIN(ROW($W$7:$W$165))+1,""),""),ROW()-ROW(A$167)+1))),),"")</f>
        <v>0</v>
      </c>
    </row>
    <row r="322" spans="11:25">
      <c r="K322">
        <f t="array" ref="K322">IFERROR(CONCATENATE(TEXT(INDEX($K$7:$K$165,SMALL(IF($N$7:$N$165&lt;&gt;"",IF($K$7:$K$165&lt;&gt;"",ROW($K$7:$K$165)-MIN(ROW($K$7:$K$165))+1,""),""),ROW()-ROW(A$167)+1)),"##0"),","),"")</f>
        <v>0</v>
      </c>
      <c r="L322">
        <f t="array" ref="L322">IFERROR(CONCATENATE((INDEX($N$7:$N$165,SMALL(IF($N$7:$N$165&lt;&gt;"",IF($K$7:$K$165&lt;&gt;"",ROW($K$7:$K$165)-MIN(ROW($K$7:$K$165))+1,""),""),ROW()-ROW(A$167)+1))),","),"")</f>
        <v>0</v>
      </c>
      <c r="M322">
        <f t="array" ref="M322">IFERROR(CONCATENATE((INDEX($A$7:$A$165,SMALL(IF($N$7:$N$165&lt;&gt;"",IF($K$7:$K$165&lt;&gt;"",ROW($K$7:$K$165)-MIN(ROW($K$7:$K$165))+1,""),""),ROW()-ROW(A$167)+1))),),"")</f>
        <v>0</v>
      </c>
      <c r="Q322">
        <f t="array" ref="Q322">IFERROR(CONCATENATE((INDEX($T$7:$T$165,SMALL(IF($T$7:$T$165&lt;&gt;"",IF($Q$7:$Q$165&lt;&gt;"",ROW($Q$7:$Q$165)-MIN(ROW($Q$7:$Q$165))+1,""),""),ROW()-ROW(A$167)+1)))," "),"")</f>
        <v>0</v>
      </c>
      <c r="R322">
        <f t="array" ref="R322">IFERROR(CONCATENATE(TEXT(INDEX($Q$7:$Q$165,SMALL(IF($T$7:$T$165&lt;&gt;"",IF($Q$7:$Q$165&lt;&gt;"",ROW($Q$7:$Q$165)-MIN(ROW($Q$7:$Q$165))+1,""),""),ROW()-ROW(A$167)+1)),"##0")," "),"")</f>
        <v>0</v>
      </c>
      <c r="S322">
        <f t="array" ref="S322">IFERROR(CONCATENATE((INDEX($A$7:$A$165,SMALL(IF($T$7:$T$165&lt;&gt;"",IF($Q$7:$Q$165&lt;&gt;"",ROW($Q$7:$Q$165)-MIN(ROW($Q$7:$Q$165))+1,""),""),ROW()-ROW(A$167)+1))),),"")</f>
        <v>0</v>
      </c>
      <c r="W322">
        <f t="array" ref="W322">IFERROR(CONCATENATE((INDEX($Z$7:$Z$165,SMALL(IF($Z$7:$Z$165&lt;&gt;"",IF($W$7:$W$165&lt;&gt;"",ROW($W$7:$W$165)-MIN(ROW($W$7:$W$165))+1,""),""),ROW()-ROW(A$167)+1))),","),"")</f>
        <v>0</v>
      </c>
      <c r="X322">
        <f t="array" ref="X322">IFERROR(CONCATENATE(TEXT(INDEX($W$7:$W$165,SMALL(IF($Z$7:$Z$165&lt;&gt;"",IF($W$7:$W$165&lt;&gt;"",ROW($W$7:$W$165)-MIN(ROW($W$7:$W$165))+1,""),""),ROW()-ROW(A$167)+1)),"##0"),","),"")</f>
        <v>0</v>
      </c>
      <c r="Y322">
        <f t="array" ref="Y322">IFERROR(CONCATENATE((INDEX($A$7:$A$165,SMALL(IF($Z$7:$Z$165&lt;&gt;"",IF($W$7:$W$165&lt;&gt;"",ROW($W$7:$W$165)-MIN(ROW($W$7:$W$165))+1,""),""),ROW()-ROW(A$167)+1))),),"")</f>
        <v>0</v>
      </c>
    </row>
    <row r="323" spans="11:25">
      <c r="K323">
        <f t="array" ref="K323">IFERROR(CONCATENATE(TEXT(INDEX($K$7:$K$165,SMALL(IF($N$7:$N$165&lt;&gt;"",IF($K$7:$K$165&lt;&gt;"",ROW($K$7:$K$165)-MIN(ROW($K$7:$K$165))+1,""),""),ROW()-ROW(A$167)+1)),"##0"),","),"")</f>
        <v>0</v>
      </c>
      <c r="L323">
        <f t="array" ref="L323">IFERROR(CONCATENATE((INDEX($N$7:$N$165,SMALL(IF($N$7:$N$165&lt;&gt;"",IF($K$7:$K$165&lt;&gt;"",ROW($K$7:$K$165)-MIN(ROW($K$7:$K$165))+1,""),""),ROW()-ROW(A$167)+1))),","),"")</f>
        <v>0</v>
      </c>
      <c r="M323">
        <f t="array" ref="M323">IFERROR(CONCATENATE((INDEX($A$7:$A$165,SMALL(IF($N$7:$N$165&lt;&gt;"",IF($K$7:$K$165&lt;&gt;"",ROW($K$7:$K$165)-MIN(ROW($K$7:$K$165))+1,""),""),ROW()-ROW(A$167)+1))),),"")</f>
        <v>0</v>
      </c>
      <c r="Q323">
        <f t="array" ref="Q323">IFERROR(CONCATENATE((INDEX($T$7:$T$165,SMALL(IF($T$7:$T$165&lt;&gt;"",IF($Q$7:$Q$165&lt;&gt;"",ROW($Q$7:$Q$165)-MIN(ROW($Q$7:$Q$165))+1,""),""),ROW()-ROW(A$167)+1)))," "),"")</f>
        <v>0</v>
      </c>
      <c r="R323">
        <f t="array" ref="R323">IFERROR(CONCATENATE(TEXT(INDEX($Q$7:$Q$165,SMALL(IF($T$7:$T$165&lt;&gt;"",IF($Q$7:$Q$165&lt;&gt;"",ROW($Q$7:$Q$165)-MIN(ROW($Q$7:$Q$165))+1,""),""),ROW()-ROW(A$167)+1)),"##0")," "),"")</f>
        <v>0</v>
      </c>
      <c r="S323">
        <f t="array" ref="S323">IFERROR(CONCATENATE((INDEX($A$7:$A$165,SMALL(IF($T$7:$T$165&lt;&gt;"",IF($Q$7:$Q$165&lt;&gt;"",ROW($Q$7:$Q$165)-MIN(ROW($Q$7:$Q$165))+1,""),""),ROW()-ROW(A$167)+1))),),"")</f>
        <v>0</v>
      </c>
      <c r="W323">
        <f t="array" ref="W323">IFERROR(CONCATENATE((INDEX($Z$7:$Z$165,SMALL(IF($Z$7:$Z$165&lt;&gt;"",IF($W$7:$W$165&lt;&gt;"",ROW($W$7:$W$165)-MIN(ROW($W$7:$W$165))+1,""),""),ROW()-ROW(A$167)+1))),","),"")</f>
        <v>0</v>
      </c>
      <c r="X323">
        <f t="array" ref="X323">IFERROR(CONCATENATE(TEXT(INDEX($W$7:$W$165,SMALL(IF($Z$7:$Z$165&lt;&gt;"",IF($W$7:$W$165&lt;&gt;"",ROW($W$7:$W$165)-MIN(ROW($W$7:$W$165))+1,""),""),ROW()-ROW(A$167)+1)),"##0"),","),"")</f>
        <v>0</v>
      </c>
      <c r="Y323">
        <f t="array" ref="Y323">IFERROR(CONCATENATE((INDEX($A$7:$A$165,SMALL(IF($Z$7:$Z$165&lt;&gt;"",IF($W$7:$W$165&lt;&gt;"",ROW($W$7:$W$165)-MIN(ROW($W$7:$W$165))+1,""),""),ROW()-ROW(A$167)+1))),),"")</f>
        <v>0</v>
      </c>
    </row>
    <row r="324" spans="11:25">
      <c r="K324">
        <f t="array" ref="K324">IFERROR(CONCATENATE(TEXT(INDEX($K$7:$K$165,SMALL(IF($N$7:$N$165&lt;&gt;"",IF($K$7:$K$165&lt;&gt;"",ROW($K$7:$K$165)-MIN(ROW($K$7:$K$165))+1,""),""),ROW()-ROW(A$167)+1)),"##0"),","),"")</f>
        <v>0</v>
      </c>
      <c r="L324">
        <f t="array" ref="L324">IFERROR(CONCATENATE((INDEX($N$7:$N$165,SMALL(IF($N$7:$N$165&lt;&gt;"",IF($K$7:$K$165&lt;&gt;"",ROW($K$7:$K$165)-MIN(ROW($K$7:$K$165))+1,""),""),ROW()-ROW(A$167)+1))),","),"")</f>
        <v>0</v>
      </c>
      <c r="M324">
        <f t="array" ref="M324">IFERROR(CONCATENATE((INDEX($A$7:$A$165,SMALL(IF($N$7:$N$165&lt;&gt;"",IF($K$7:$K$165&lt;&gt;"",ROW($K$7:$K$165)-MIN(ROW($K$7:$K$165))+1,""),""),ROW()-ROW(A$167)+1))),),"")</f>
        <v>0</v>
      </c>
      <c r="Q324">
        <f t="array" ref="Q324">IFERROR(CONCATENATE((INDEX($T$7:$T$165,SMALL(IF($T$7:$T$165&lt;&gt;"",IF($Q$7:$Q$165&lt;&gt;"",ROW($Q$7:$Q$165)-MIN(ROW($Q$7:$Q$165))+1,""),""),ROW()-ROW(A$167)+1)))," "),"")</f>
        <v>0</v>
      </c>
      <c r="R324">
        <f t="array" ref="R324">IFERROR(CONCATENATE(TEXT(INDEX($Q$7:$Q$165,SMALL(IF($T$7:$T$165&lt;&gt;"",IF($Q$7:$Q$165&lt;&gt;"",ROW($Q$7:$Q$165)-MIN(ROW($Q$7:$Q$165))+1,""),""),ROW()-ROW(A$167)+1)),"##0")," "),"")</f>
        <v>0</v>
      </c>
      <c r="S324">
        <f t="array" ref="S324">IFERROR(CONCATENATE((INDEX($A$7:$A$165,SMALL(IF($T$7:$T$165&lt;&gt;"",IF($Q$7:$Q$165&lt;&gt;"",ROW($Q$7:$Q$165)-MIN(ROW($Q$7:$Q$165))+1,""),""),ROW()-ROW(A$167)+1))),),"")</f>
        <v>0</v>
      </c>
      <c r="W324">
        <f t="array" ref="W324">IFERROR(CONCATENATE((INDEX($Z$7:$Z$165,SMALL(IF($Z$7:$Z$165&lt;&gt;"",IF($W$7:$W$165&lt;&gt;"",ROW($W$7:$W$165)-MIN(ROW($W$7:$W$165))+1,""),""),ROW()-ROW(A$167)+1))),","),"")</f>
        <v>0</v>
      </c>
      <c r="X324">
        <f t="array" ref="X324">IFERROR(CONCATENATE(TEXT(INDEX($W$7:$W$165,SMALL(IF($Z$7:$Z$165&lt;&gt;"",IF($W$7:$W$165&lt;&gt;"",ROW($W$7:$W$165)-MIN(ROW($W$7:$W$165))+1,""),""),ROW()-ROW(A$167)+1)),"##0"),","),"")</f>
        <v>0</v>
      </c>
      <c r="Y324">
        <f t="array" ref="Y324">IFERROR(CONCATENATE((INDEX($A$7:$A$165,SMALL(IF($Z$7:$Z$165&lt;&gt;"",IF($W$7:$W$165&lt;&gt;"",ROW($W$7:$W$165)-MIN(ROW($W$7:$W$165))+1,""),""),ROW()-ROW(A$167)+1))),),"")</f>
        <v>0</v>
      </c>
    </row>
    <row r="325" spans="11:25">
      <c r="K325">
        <f t="array" ref="K325">IFERROR(CONCATENATE(TEXT(INDEX($K$7:$K$165,SMALL(IF($N$7:$N$165&lt;&gt;"",IF($K$7:$K$165&lt;&gt;"",ROW($K$7:$K$165)-MIN(ROW($K$7:$K$165))+1,""),""),ROW()-ROW(A$167)+1)),"##0"),","),"")</f>
        <v>0</v>
      </c>
      <c r="L325">
        <f t="array" ref="L325">IFERROR(CONCATENATE((INDEX($N$7:$N$165,SMALL(IF($N$7:$N$165&lt;&gt;"",IF($K$7:$K$165&lt;&gt;"",ROW($K$7:$K$165)-MIN(ROW($K$7:$K$165))+1,""),""),ROW()-ROW(A$167)+1))),","),"")</f>
        <v>0</v>
      </c>
      <c r="M325">
        <f t="array" ref="M325">IFERROR(CONCATENATE((INDEX($A$7:$A$165,SMALL(IF($N$7:$N$165&lt;&gt;"",IF($K$7:$K$165&lt;&gt;"",ROW($K$7:$K$165)-MIN(ROW($K$7:$K$165))+1,""),""),ROW()-ROW(A$167)+1))),),"")</f>
        <v>0</v>
      </c>
      <c r="Q325">
        <f t="array" ref="Q325">IFERROR(CONCATENATE((INDEX($T$7:$T$165,SMALL(IF($T$7:$T$165&lt;&gt;"",IF($Q$7:$Q$165&lt;&gt;"",ROW($Q$7:$Q$165)-MIN(ROW($Q$7:$Q$165))+1,""),""),ROW()-ROW(A$167)+1)))," "),"")</f>
        <v>0</v>
      </c>
      <c r="R325">
        <f t="array" ref="R325">IFERROR(CONCATENATE(TEXT(INDEX($Q$7:$Q$165,SMALL(IF($T$7:$T$165&lt;&gt;"",IF($Q$7:$Q$165&lt;&gt;"",ROW($Q$7:$Q$165)-MIN(ROW($Q$7:$Q$165))+1,""),""),ROW()-ROW(A$167)+1)),"##0")," "),"")</f>
        <v>0</v>
      </c>
      <c r="S325">
        <f t="array" ref="S325">IFERROR(CONCATENATE((INDEX($A$7:$A$165,SMALL(IF($T$7:$T$165&lt;&gt;"",IF($Q$7:$Q$165&lt;&gt;"",ROW($Q$7:$Q$165)-MIN(ROW($Q$7:$Q$165))+1,""),""),ROW()-ROW(A$167)+1))),),"")</f>
        <v>0</v>
      </c>
      <c r="W325">
        <f t="array" ref="W325">IFERROR(CONCATENATE((INDEX($Z$7:$Z$165,SMALL(IF($Z$7:$Z$165&lt;&gt;"",IF($W$7:$W$165&lt;&gt;"",ROW($W$7:$W$165)-MIN(ROW($W$7:$W$165))+1,""),""),ROW()-ROW(A$167)+1))),","),"")</f>
        <v>0</v>
      </c>
      <c r="X325">
        <f t="array" ref="X325">IFERROR(CONCATENATE(TEXT(INDEX($W$7:$W$165,SMALL(IF($Z$7:$Z$165&lt;&gt;"",IF($W$7:$W$165&lt;&gt;"",ROW($W$7:$W$165)-MIN(ROW($W$7:$W$165))+1,""),""),ROW()-ROW(A$167)+1)),"##0"),","),"")</f>
        <v>0</v>
      </c>
      <c r="Y325">
        <f t="array" ref="Y325">IFERROR(CONCATENATE((INDEX($A$7:$A$165,SMALL(IF($Z$7:$Z$165&lt;&gt;"",IF($W$7:$W$165&lt;&gt;"",ROW($W$7:$W$165)-MIN(ROW($W$7:$W$165))+1,""),""),ROW()-ROW(A$167)+1))),),"")</f>
        <v>0</v>
      </c>
    </row>
  </sheetData>
  <mergeCells count="4">
    <mergeCell ref="A5:I5"/>
    <mergeCell ref="J5:O5"/>
    <mergeCell ref="P5:U5"/>
    <mergeCell ref="V5:AA5"/>
  </mergeCells>
  <conditionalFormatting sqref="L10">
    <cfRule type="cellIs" dxfId="0" priority="5" operator="lessThanOrEqual">
      <formula>H10</formula>
    </cfRule>
  </conditionalFormatting>
  <conditionalFormatting sqref="L101">
    <cfRule type="cellIs" dxfId="0" priority="157" operator="lessThanOrEqual">
      <formula>H101</formula>
    </cfRule>
  </conditionalFormatting>
  <conditionalFormatting sqref="L102">
    <cfRule type="cellIs" dxfId="0" priority="159" operator="lessThanOrEqual">
      <formula>H102</formula>
    </cfRule>
  </conditionalFormatting>
  <conditionalFormatting sqref="L103">
    <cfRule type="cellIs" dxfId="0" priority="161" operator="lessThanOrEqual">
      <formula>H103</formula>
    </cfRule>
  </conditionalFormatting>
  <conditionalFormatting sqref="L104">
    <cfRule type="cellIs" dxfId="0" priority="163" operator="lessThanOrEqual">
      <formula>H104</formula>
    </cfRule>
  </conditionalFormatting>
  <conditionalFormatting sqref="L105">
    <cfRule type="cellIs" dxfId="0" priority="165" operator="lessThanOrEqual">
      <formula>H105</formula>
    </cfRule>
  </conditionalFormatting>
  <conditionalFormatting sqref="L106">
    <cfRule type="cellIs" dxfId="0" priority="167" operator="lessThanOrEqual">
      <formula>H106</formula>
    </cfRule>
  </conditionalFormatting>
  <conditionalFormatting sqref="L107">
    <cfRule type="cellIs" dxfId="0" priority="169" operator="lessThanOrEqual">
      <formula>H107</formula>
    </cfRule>
  </conditionalFormatting>
  <conditionalFormatting sqref="L108">
    <cfRule type="cellIs" dxfId="0" priority="171" operator="lessThanOrEqual">
      <formula>H108</formula>
    </cfRule>
  </conditionalFormatting>
  <conditionalFormatting sqref="L109">
    <cfRule type="cellIs" dxfId="0" priority="173" operator="lessThanOrEqual">
      <formula>H109</formula>
    </cfRule>
  </conditionalFormatting>
  <conditionalFormatting sqref="L11">
    <cfRule type="cellIs" dxfId="0" priority="7" operator="lessThanOrEqual">
      <formula>H11</formula>
    </cfRule>
  </conditionalFormatting>
  <conditionalFormatting sqref="L110">
    <cfRule type="cellIs" dxfId="0" priority="175" operator="lessThanOrEqual">
      <formula>H110</formula>
    </cfRule>
  </conditionalFormatting>
  <conditionalFormatting sqref="L111">
    <cfRule type="cellIs" dxfId="0" priority="177" operator="lessThanOrEqual">
      <formula>H111</formula>
    </cfRule>
  </conditionalFormatting>
  <conditionalFormatting sqref="L112">
    <cfRule type="cellIs" dxfId="0" priority="179" operator="lessThanOrEqual">
      <formula>H112</formula>
    </cfRule>
  </conditionalFormatting>
  <conditionalFormatting sqref="L113">
    <cfRule type="cellIs" dxfId="0" priority="181" operator="lessThanOrEqual">
      <formula>H113</formula>
    </cfRule>
  </conditionalFormatting>
  <conditionalFormatting sqref="L114">
    <cfRule type="cellIs" dxfId="0" priority="183" operator="lessThanOrEqual">
      <formula>H114</formula>
    </cfRule>
  </conditionalFormatting>
  <conditionalFormatting sqref="L115">
    <cfRule type="cellIs" dxfId="0" priority="185" operator="lessThanOrEqual">
      <formula>H115</formula>
    </cfRule>
  </conditionalFormatting>
  <conditionalFormatting sqref="L117">
    <cfRule type="cellIs" dxfId="0" priority="187" operator="lessThanOrEqual">
      <formula>H117</formula>
    </cfRule>
  </conditionalFormatting>
  <conditionalFormatting sqref="L118">
    <cfRule type="cellIs" dxfId="0" priority="189" operator="lessThanOrEqual">
      <formula>H118</formula>
    </cfRule>
  </conditionalFormatting>
  <conditionalFormatting sqref="L119">
    <cfRule type="cellIs" dxfId="0" priority="191" operator="lessThanOrEqual">
      <formula>H119</formula>
    </cfRule>
  </conditionalFormatting>
  <conditionalFormatting sqref="L12">
    <cfRule type="cellIs" dxfId="0" priority="9" operator="lessThanOrEqual">
      <formula>H12</formula>
    </cfRule>
  </conditionalFormatting>
  <conditionalFormatting sqref="L120">
    <cfRule type="cellIs" dxfId="0" priority="193" operator="lessThanOrEqual">
      <formula>H120</formula>
    </cfRule>
  </conditionalFormatting>
  <conditionalFormatting sqref="L121">
    <cfRule type="cellIs" dxfId="0" priority="195" operator="lessThanOrEqual">
      <formula>H121</formula>
    </cfRule>
  </conditionalFormatting>
  <conditionalFormatting sqref="L124">
    <cfRule type="cellIs" dxfId="0" priority="197" operator="lessThanOrEqual">
      <formula>H124</formula>
    </cfRule>
  </conditionalFormatting>
  <conditionalFormatting sqref="L126">
    <cfRule type="cellIs" dxfId="0" priority="199" operator="lessThanOrEqual">
      <formula>H126</formula>
    </cfRule>
  </conditionalFormatting>
  <conditionalFormatting sqref="L127">
    <cfRule type="cellIs" dxfId="0" priority="201" operator="lessThanOrEqual">
      <formula>H127</formula>
    </cfRule>
  </conditionalFormatting>
  <conditionalFormatting sqref="L129">
    <cfRule type="cellIs" dxfId="0" priority="203" operator="lessThanOrEqual">
      <formula>H129</formula>
    </cfRule>
  </conditionalFormatting>
  <conditionalFormatting sqref="L130">
    <cfRule type="cellIs" dxfId="0" priority="205" operator="lessThanOrEqual">
      <formula>H130</formula>
    </cfRule>
  </conditionalFormatting>
  <conditionalFormatting sqref="L131">
    <cfRule type="cellIs" dxfId="0" priority="207" operator="lessThanOrEqual">
      <formula>H131</formula>
    </cfRule>
  </conditionalFormatting>
  <conditionalFormatting sqref="L132">
    <cfRule type="cellIs" dxfId="0" priority="209" operator="lessThanOrEqual">
      <formula>H132</formula>
    </cfRule>
  </conditionalFormatting>
  <conditionalFormatting sqref="L134">
    <cfRule type="cellIs" dxfId="0" priority="211" operator="lessThanOrEqual">
      <formula>H134</formula>
    </cfRule>
  </conditionalFormatting>
  <conditionalFormatting sqref="L135">
    <cfRule type="cellIs" dxfId="0" priority="213" operator="lessThanOrEqual">
      <formula>H135</formula>
    </cfRule>
  </conditionalFormatting>
  <conditionalFormatting sqref="L136">
    <cfRule type="cellIs" dxfId="0" priority="215" operator="lessThanOrEqual">
      <formula>H136</formula>
    </cfRule>
  </conditionalFormatting>
  <conditionalFormatting sqref="L137">
    <cfRule type="cellIs" dxfId="0" priority="217" operator="lessThanOrEqual">
      <formula>H137</formula>
    </cfRule>
  </conditionalFormatting>
  <conditionalFormatting sqref="L138">
    <cfRule type="cellIs" dxfId="0" priority="219" operator="lessThanOrEqual">
      <formula>H138</formula>
    </cfRule>
  </conditionalFormatting>
  <conditionalFormatting sqref="L139">
    <cfRule type="cellIs" dxfId="0" priority="221" operator="lessThanOrEqual">
      <formula>H139</formula>
    </cfRule>
  </conditionalFormatting>
  <conditionalFormatting sqref="L14">
    <cfRule type="cellIs" dxfId="0" priority="11" operator="lessThanOrEqual">
      <formula>H14</formula>
    </cfRule>
  </conditionalFormatting>
  <conditionalFormatting sqref="L140">
    <cfRule type="cellIs" dxfId="0" priority="223" operator="lessThanOrEqual">
      <formula>H140</formula>
    </cfRule>
  </conditionalFormatting>
  <conditionalFormatting sqref="L141">
    <cfRule type="cellIs" dxfId="0" priority="225" operator="lessThanOrEqual">
      <formula>H141</formula>
    </cfRule>
  </conditionalFormatting>
  <conditionalFormatting sqref="L142">
    <cfRule type="cellIs" dxfId="0" priority="227" operator="lessThanOrEqual">
      <formula>H142</formula>
    </cfRule>
  </conditionalFormatting>
  <conditionalFormatting sqref="L143">
    <cfRule type="cellIs" dxfId="0" priority="229" operator="lessThanOrEqual">
      <formula>H143</formula>
    </cfRule>
  </conditionalFormatting>
  <conditionalFormatting sqref="L144">
    <cfRule type="cellIs" dxfId="0" priority="231" operator="lessThanOrEqual">
      <formula>H144</formula>
    </cfRule>
  </conditionalFormatting>
  <conditionalFormatting sqref="L145">
    <cfRule type="cellIs" dxfId="0" priority="233" operator="lessThanOrEqual">
      <formula>H145</formula>
    </cfRule>
  </conditionalFormatting>
  <conditionalFormatting sqref="L147">
    <cfRule type="cellIs" dxfId="0" priority="235" operator="lessThanOrEqual">
      <formula>H147</formula>
    </cfRule>
  </conditionalFormatting>
  <conditionalFormatting sqref="L148">
    <cfRule type="cellIs" dxfId="0" priority="237" operator="lessThanOrEqual">
      <formula>H148</formula>
    </cfRule>
  </conditionalFormatting>
  <conditionalFormatting sqref="L149">
    <cfRule type="cellIs" dxfId="0" priority="239" operator="lessThanOrEqual">
      <formula>H149</formula>
    </cfRule>
  </conditionalFormatting>
  <conditionalFormatting sqref="L15">
    <cfRule type="cellIs" dxfId="0" priority="13" operator="lessThanOrEqual">
      <formula>H15</formula>
    </cfRule>
  </conditionalFormatting>
  <conditionalFormatting sqref="L150">
    <cfRule type="cellIs" dxfId="0" priority="241" operator="lessThanOrEqual">
      <formula>H150</formula>
    </cfRule>
  </conditionalFormatting>
  <conditionalFormatting sqref="L151">
    <cfRule type="cellIs" dxfId="0" priority="243" operator="lessThanOrEqual">
      <formula>H151</formula>
    </cfRule>
  </conditionalFormatting>
  <conditionalFormatting sqref="L152">
    <cfRule type="cellIs" dxfId="0" priority="245" operator="lessThanOrEqual">
      <formula>H152</formula>
    </cfRule>
  </conditionalFormatting>
  <conditionalFormatting sqref="L153">
    <cfRule type="cellIs" dxfId="0" priority="247" operator="lessThanOrEqual">
      <formula>H153</formula>
    </cfRule>
  </conditionalFormatting>
  <conditionalFormatting sqref="L154">
    <cfRule type="cellIs" dxfId="0" priority="249" operator="lessThanOrEqual">
      <formula>H154</formula>
    </cfRule>
  </conditionalFormatting>
  <conditionalFormatting sqref="L156">
    <cfRule type="cellIs" dxfId="0" priority="251" operator="lessThanOrEqual">
      <formula>H156</formula>
    </cfRule>
  </conditionalFormatting>
  <conditionalFormatting sqref="L158">
    <cfRule type="cellIs" dxfId="0" priority="253" operator="lessThanOrEqual">
      <formula>H158</formula>
    </cfRule>
  </conditionalFormatting>
  <conditionalFormatting sqref="L16">
    <cfRule type="cellIs" dxfId="0" priority="15" operator="lessThanOrEqual">
      <formula>H16</formula>
    </cfRule>
  </conditionalFormatting>
  <conditionalFormatting sqref="L160">
    <cfRule type="cellIs" dxfId="0" priority="255" operator="lessThanOrEqual">
      <formula>H160</formula>
    </cfRule>
  </conditionalFormatting>
  <conditionalFormatting sqref="L161">
    <cfRule type="cellIs" dxfId="0" priority="257" operator="lessThanOrEqual">
      <formula>H161</formula>
    </cfRule>
  </conditionalFormatting>
  <conditionalFormatting sqref="L162">
    <cfRule type="cellIs" dxfId="0" priority="259" operator="lessThanOrEqual">
      <formula>H162</formula>
    </cfRule>
  </conditionalFormatting>
  <conditionalFormatting sqref="L163">
    <cfRule type="cellIs" dxfId="0" priority="261" operator="lessThanOrEqual">
      <formula>H163</formula>
    </cfRule>
  </conditionalFormatting>
  <conditionalFormatting sqref="L164">
    <cfRule type="cellIs" dxfId="0" priority="263" operator="lessThanOrEqual">
      <formula>H164</formula>
    </cfRule>
  </conditionalFormatting>
  <conditionalFormatting sqref="L165">
    <cfRule type="cellIs" dxfId="0" priority="265" operator="lessThanOrEqual">
      <formula>H165</formula>
    </cfRule>
  </conditionalFormatting>
  <conditionalFormatting sqref="L17">
    <cfRule type="cellIs" dxfId="0" priority="17" operator="lessThanOrEqual">
      <formula>H17</formula>
    </cfRule>
  </conditionalFormatting>
  <conditionalFormatting sqref="L18">
    <cfRule type="cellIs" dxfId="0" priority="19" operator="lessThanOrEqual">
      <formula>H18</formula>
    </cfRule>
  </conditionalFormatting>
  <conditionalFormatting sqref="L19">
    <cfRule type="cellIs" dxfId="0" priority="21" operator="lessThanOrEqual">
      <formula>H19</formula>
    </cfRule>
  </conditionalFormatting>
  <conditionalFormatting sqref="L20">
    <cfRule type="cellIs" dxfId="0" priority="23" operator="lessThanOrEqual">
      <formula>H20</formula>
    </cfRule>
  </conditionalFormatting>
  <conditionalFormatting sqref="L21">
    <cfRule type="cellIs" dxfId="0" priority="25" operator="lessThanOrEqual">
      <formula>H21</formula>
    </cfRule>
  </conditionalFormatting>
  <conditionalFormatting sqref="L22">
    <cfRule type="cellIs" dxfId="0" priority="27" operator="lessThanOrEqual">
      <formula>H22</formula>
    </cfRule>
  </conditionalFormatting>
  <conditionalFormatting sqref="L23">
    <cfRule type="cellIs" dxfId="0" priority="29" operator="lessThanOrEqual">
      <formula>H23</formula>
    </cfRule>
  </conditionalFormatting>
  <conditionalFormatting sqref="L24">
    <cfRule type="cellIs" dxfId="0" priority="31" operator="lessThanOrEqual">
      <formula>H24</formula>
    </cfRule>
  </conditionalFormatting>
  <conditionalFormatting sqref="L25">
    <cfRule type="cellIs" dxfId="0" priority="33" operator="lessThanOrEqual">
      <formula>H25</formula>
    </cfRule>
  </conditionalFormatting>
  <conditionalFormatting sqref="L27">
    <cfRule type="cellIs" dxfId="0" priority="35" operator="lessThanOrEqual">
      <formula>H27</formula>
    </cfRule>
  </conditionalFormatting>
  <conditionalFormatting sqref="L28">
    <cfRule type="cellIs" dxfId="0" priority="37" operator="lessThanOrEqual">
      <formula>H28</formula>
    </cfRule>
  </conditionalFormatting>
  <conditionalFormatting sqref="L29">
    <cfRule type="cellIs" dxfId="0" priority="39" operator="lessThanOrEqual">
      <formula>H29</formula>
    </cfRule>
  </conditionalFormatting>
  <conditionalFormatting sqref="L30">
    <cfRule type="cellIs" dxfId="0" priority="41" operator="lessThanOrEqual">
      <formula>H30</formula>
    </cfRule>
  </conditionalFormatting>
  <conditionalFormatting sqref="L31">
    <cfRule type="cellIs" dxfId="0" priority="43" operator="lessThanOrEqual">
      <formula>H31</formula>
    </cfRule>
  </conditionalFormatting>
  <conditionalFormatting sqref="L32">
    <cfRule type="cellIs" dxfId="0" priority="45" operator="lessThanOrEqual">
      <formula>H32</formula>
    </cfRule>
  </conditionalFormatting>
  <conditionalFormatting sqref="L33">
    <cfRule type="cellIs" dxfId="0" priority="47" operator="lessThanOrEqual">
      <formula>H33</formula>
    </cfRule>
  </conditionalFormatting>
  <conditionalFormatting sqref="L34">
    <cfRule type="cellIs" dxfId="0" priority="49" operator="lessThanOrEqual">
      <formula>H34</formula>
    </cfRule>
  </conditionalFormatting>
  <conditionalFormatting sqref="L35">
    <cfRule type="cellIs" dxfId="0" priority="51" operator="lessThanOrEqual">
      <formula>H35</formula>
    </cfRule>
  </conditionalFormatting>
  <conditionalFormatting sqref="L37">
    <cfRule type="cellIs" dxfId="0" priority="53" operator="lessThanOrEqual">
      <formula>H37</formula>
    </cfRule>
  </conditionalFormatting>
  <conditionalFormatting sqref="L38">
    <cfRule type="cellIs" dxfId="0" priority="55" operator="lessThanOrEqual">
      <formula>H38</formula>
    </cfRule>
  </conditionalFormatting>
  <conditionalFormatting sqref="L39">
    <cfRule type="cellIs" dxfId="0" priority="57" operator="lessThanOrEqual">
      <formula>H39</formula>
    </cfRule>
  </conditionalFormatting>
  <conditionalFormatting sqref="L40">
    <cfRule type="cellIs" dxfId="0" priority="59" operator="lessThanOrEqual">
      <formula>H40</formula>
    </cfRule>
  </conditionalFormatting>
  <conditionalFormatting sqref="L41">
    <cfRule type="cellIs" dxfId="0" priority="61" operator="lessThanOrEqual">
      <formula>H41</formula>
    </cfRule>
  </conditionalFormatting>
  <conditionalFormatting sqref="L43">
    <cfRule type="cellIs" dxfId="0" priority="63" operator="lessThanOrEqual">
      <formula>H43</formula>
    </cfRule>
  </conditionalFormatting>
  <conditionalFormatting sqref="L44">
    <cfRule type="cellIs" dxfId="0" priority="65" operator="lessThanOrEqual">
      <formula>H44</formula>
    </cfRule>
  </conditionalFormatting>
  <conditionalFormatting sqref="L45">
    <cfRule type="cellIs" dxfId="0" priority="67" operator="lessThanOrEqual">
      <formula>H45</formula>
    </cfRule>
  </conditionalFormatting>
  <conditionalFormatting sqref="L46">
    <cfRule type="cellIs" dxfId="0" priority="69" operator="lessThanOrEqual">
      <formula>H46</formula>
    </cfRule>
  </conditionalFormatting>
  <conditionalFormatting sqref="L47">
    <cfRule type="cellIs" dxfId="0" priority="71" operator="lessThanOrEqual">
      <formula>H47</formula>
    </cfRule>
  </conditionalFormatting>
  <conditionalFormatting sqref="L49">
    <cfRule type="cellIs" dxfId="0" priority="73" operator="lessThanOrEqual">
      <formula>H49</formula>
    </cfRule>
  </conditionalFormatting>
  <conditionalFormatting sqref="L50">
    <cfRule type="cellIs" dxfId="0" priority="75" operator="lessThanOrEqual">
      <formula>H50</formula>
    </cfRule>
  </conditionalFormatting>
  <conditionalFormatting sqref="L51">
    <cfRule type="cellIs" dxfId="0" priority="77" operator="lessThanOrEqual">
      <formula>H51</formula>
    </cfRule>
  </conditionalFormatting>
  <conditionalFormatting sqref="L52">
    <cfRule type="cellIs" dxfId="0" priority="79" operator="lessThanOrEqual">
      <formula>H52</formula>
    </cfRule>
  </conditionalFormatting>
  <conditionalFormatting sqref="L53">
    <cfRule type="cellIs" dxfId="0" priority="81" operator="lessThanOrEqual">
      <formula>H53</formula>
    </cfRule>
  </conditionalFormatting>
  <conditionalFormatting sqref="L54">
    <cfRule type="cellIs" dxfId="0" priority="83" operator="lessThanOrEqual">
      <formula>H54</formula>
    </cfRule>
  </conditionalFormatting>
  <conditionalFormatting sqref="L55">
    <cfRule type="cellIs" dxfId="0" priority="85" operator="lessThanOrEqual">
      <formula>H55</formula>
    </cfRule>
  </conditionalFormatting>
  <conditionalFormatting sqref="L56">
    <cfRule type="cellIs" dxfId="0" priority="87" operator="lessThanOrEqual">
      <formula>H56</formula>
    </cfRule>
  </conditionalFormatting>
  <conditionalFormatting sqref="L57">
    <cfRule type="cellIs" dxfId="0" priority="89" operator="lessThanOrEqual">
      <formula>H57</formula>
    </cfRule>
  </conditionalFormatting>
  <conditionalFormatting sqref="L58">
    <cfRule type="cellIs" dxfId="0" priority="91" operator="lessThanOrEqual">
      <formula>H58</formula>
    </cfRule>
  </conditionalFormatting>
  <conditionalFormatting sqref="L59">
    <cfRule type="cellIs" dxfId="0" priority="93" operator="lessThanOrEqual">
      <formula>H59</formula>
    </cfRule>
  </conditionalFormatting>
  <conditionalFormatting sqref="L60">
    <cfRule type="cellIs" dxfId="0" priority="95" operator="lessThanOrEqual">
      <formula>H60</formula>
    </cfRule>
  </conditionalFormatting>
  <conditionalFormatting sqref="L61">
    <cfRule type="cellIs" dxfId="0" priority="97" operator="lessThanOrEqual">
      <formula>H61</formula>
    </cfRule>
  </conditionalFormatting>
  <conditionalFormatting sqref="L62">
    <cfRule type="cellIs" dxfId="0" priority="99" operator="lessThanOrEqual">
      <formula>H62</formula>
    </cfRule>
  </conditionalFormatting>
  <conditionalFormatting sqref="L63">
    <cfRule type="cellIs" dxfId="0" priority="101" operator="lessThanOrEqual">
      <formula>H63</formula>
    </cfRule>
  </conditionalFormatting>
  <conditionalFormatting sqref="L64">
    <cfRule type="cellIs" dxfId="0" priority="103" operator="lessThanOrEqual">
      <formula>H64</formula>
    </cfRule>
  </conditionalFormatting>
  <conditionalFormatting sqref="L65">
    <cfRule type="cellIs" dxfId="0" priority="105" operator="lessThanOrEqual">
      <formula>H65</formula>
    </cfRule>
  </conditionalFormatting>
  <conditionalFormatting sqref="L66">
    <cfRule type="cellIs" dxfId="0" priority="107" operator="lessThanOrEqual">
      <formula>H66</formula>
    </cfRule>
  </conditionalFormatting>
  <conditionalFormatting sqref="L68">
    <cfRule type="cellIs" dxfId="0" priority="109" operator="lessThanOrEqual">
      <formula>H68</formula>
    </cfRule>
  </conditionalFormatting>
  <conditionalFormatting sqref="L69">
    <cfRule type="cellIs" dxfId="0" priority="111" operator="lessThanOrEqual">
      <formula>H69</formula>
    </cfRule>
  </conditionalFormatting>
  <conditionalFormatting sqref="L7">
    <cfRule type="cellIs" dxfId="0" priority="1" operator="lessThanOrEqual">
      <formula>H7</formula>
    </cfRule>
  </conditionalFormatting>
  <conditionalFormatting sqref="L70">
    <cfRule type="cellIs" dxfId="0" priority="113" operator="lessThanOrEqual">
      <formula>H70</formula>
    </cfRule>
  </conditionalFormatting>
  <conditionalFormatting sqref="L71">
    <cfRule type="cellIs" dxfId="0" priority="115" operator="lessThanOrEqual">
      <formula>H71</formula>
    </cfRule>
  </conditionalFormatting>
  <conditionalFormatting sqref="L73">
    <cfRule type="cellIs" dxfId="0" priority="117" operator="lessThanOrEqual">
      <formula>H73</formula>
    </cfRule>
  </conditionalFormatting>
  <conditionalFormatting sqref="L75">
    <cfRule type="cellIs" dxfId="0" priority="119" operator="lessThanOrEqual">
      <formula>H75</formula>
    </cfRule>
  </conditionalFormatting>
  <conditionalFormatting sqref="L76">
    <cfRule type="cellIs" dxfId="0" priority="121" operator="lessThanOrEqual">
      <formula>H76</formula>
    </cfRule>
  </conditionalFormatting>
  <conditionalFormatting sqref="L78">
    <cfRule type="cellIs" dxfId="0" priority="123" operator="lessThanOrEqual">
      <formula>H78</formula>
    </cfRule>
  </conditionalFormatting>
  <conditionalFormatting sqref="L79">
    <cfRule type="cellIs" dxfId="0" priority="125" operator="lessThanOrEqual">
      <formula>H79</formula>
    </cfRule>
  </conditionalFormatting>
  <conditionalFormatting sqref="L8">
    <cfRule type="cellIs" dxfId="0" priority="3" operator="lessThanOrEqual">
      <formula>H8</formula>
    </cfRule>
  </conditionalFormatting>
  <conditionalFormatting sqref="L80">
    <cfRule type="cellIs" dxfId="0" priority="127" operator="lessThanOrEqual">
      <formula>H80</formula>
    </cfRule>
  </conditionalFormatting>
  <conditionalFormatting sqref="L81">
    <cfRule type="cellIs" dxfId="0" priority="129" operator="lessThanOrEqual">
      <formula>H81</formula>
    </cfRule>
  </conditionalFormatting>
  <conditionalFormatting sqref="L82">
    <cfRule type="cellIs" dxfId="0" priority="131" operator="lessThanOrEqual">
      <formula>H82</formula>
    </cfRule>
  </conditionalFormatting>
  <conditionalFormatting sqref="L84">
    <cfRule type="cellIs" dxfId="0" priority="133" operator="lessThanOrEqual">
      <formula>H84</formula>
    </cfRule>
  </conditionalFormatting>
  <conditionalFormatting sqref="L85">
    <cfRule type="cellIs" dxfId="0" priority="135" operator="lessThanOrEqual">
      <formula>H85</formula>
    </cfRule>
  </conditionalFormatting>
  <conditionalFormatting sqref="L87">
    <cfRule type="cellIs" dxfId="0" priority="137" operator="lessThanOrEqual">
      <formula>H87</formula>
    </cfRule>
  </conditionalFormatting>
  <conditionalFormatting sqref="L88">
    <cfRule type="cellIs" dxfId="0" priority="139" operator="lessThanOrEqual">
      <formula>H88</formula>
    </cfRule>
  </conditionalFormatting>
  <conditionalFormatting sqref="L89">
    <cfRule type="cellIs" dxfId="0" priority="141" operator="lessThanOrEqual">
      <formula>H89</formula>
    </cfRule>
  </conditionalFormatting>
  <conditionalFormatting sqref="L90">
    <cfRule type="cellIs" dxfId="0" priority="143" operator="lessThanOrEqual">
      <formula>H90</formula>
    </cfRule>
  </conditionalFormatting>
  <conditionalFormatting sqref="L92">
    <cfRule type="cellIs" dxfId="0" priority="145" operator="lessThanOrEqual">
      <formula>H92</formula>
    </cfRule>
  </conditionalFormatting>
  <conditionalFormatting sqref="L93">
    <cfRule type="cellIs" dxfId="0" priority="147" operator="lessThanOrEqual">
      <formula>H93</formula>
    </cfRule>
  </conditionalFormatting>
  <conditionalFormatting sqref="L96">
    <cfRule type="cellIs" dxfId="0" priority="149" operator="lessThanOrEqual">
      <formula>H96</formula>
    </cfRule>
  </conditionalFormatting>
  <conditionalFormatting sqref="L97">
    <cfRule type="cellIs" dxfId="0" priority="151" operator="lessThanOrEqual">
      <formula>H97</formula>
    </cfRule>
  </conditionalFormatting>
  <conditionalFormatting sqref="L98">
    <cfRule type="cellIs" dxfId="0" priority="153" operator="lessThanOrEqual">
      <formula>H98</formula>
    </cfRule>
  </conditionalFormatting>
  <conditionalFormatting sqref="L99">
    <cfRule type="cellIs" dxfId="0" priority="155" operator="lessThanOrEqual">
      <formula>H99</formula>
    </cfRule>
  </conditionalFormatting>
  <conditionalFormatting sqref="M10">
    <cfRule type="cellIs" dxfId="0" priority="6" operator="lessThanOrEqual">
      <formula>I10</formula>
    </cfRule>
  </conditionalFormatting>
  <conditionalFormatting sqref="M101">
    <cfRule type="cellIs" dxfId="0" priority="158" operator="lessThanOrEqual">
      <formula>I101</formula>
    </cfRule>
  </conditionalFormatting>
  <conditionalFormatting sqref="M102">
    <cfRule type="cellIs" dxfId="0" priority="160" operator="lessThanOrEqual">
      <formula>I102</formula>
    </cfRule>
  </conditionalFormatting>
  <conditionalFormatting sqref="M103">
    <cfRule type="cellIs" dxfId="0" priority="162" operator="lessThanOrEqual">
      <formula>I103</formula>
    </cfRule>
  </conditionalFormatting>
  <conditionalFormatting sqref="M104">
    <cfRule type="cellIs" dxfId="0" priority="164" operator="lessThanOrEqual">
      <formula>I104</formula>
    </cfRule>
  </conditionalFormatting>
  <conditionalFormatting sqref="M105">
    <cfRule type="cellIs" dxfId="0" priority="166" operator="lessThanOrEqual">
      <formula>I105</formula>
    </cfRule>
  </conditionalFormatting>
  <conditionalFormatting sqref="M106">
    <cfRule type="cellIs" dxfId="0" priority="168" operator="lessThanOrEqual">
      <formula>I106</formula>
    </cfRule>
  </conditionalFormatting>
  <conditionalFormatting sqref="M107">
    <cfRule type="cellIs" dxfId="0" priority="170" operator="lessThanOrEqual">
      <formula>I107</formula>
    </cfRule>
  </conditionalFormatting>
  <conditionalFormatting sqref="M108">
    <cfRule type="cellIs" dxfId="0" priority="172" operator="lessThanOrEqual">
      <formula>I108</formula>
    </cfRule>
  </conditionalFormatting>
  <conditionalFormatting sqref="M109">
    <cfRule type="cellIs" dxfId="0" priority="174" operator="lessThanOrEqual">
      <formula>I109</formula>
    </cfRule>
  </conditionalFormatting>
  <conditionalFormatting sqref="M11">
    <cfRule type="cellIs" dxfId="0" priority="8" operator="lessThanOrEqual">
      <formula>I11</formula>
    </cfRule>
  </conditionalFormatting>
  <conditionalFormatting sqref="M110">
    <cfRule type="cellIs" dxfId="0" priority="176" operator="lessThanOrEqual">
      <formula>I110</formula>
    </cfRule>
  </conditionalFormatting>
  <conditionalFormatting sqref="M111">
    <cfRule type="cellIs" dxfId="0" priority="178" operator="lessThanOrEqual">
      <formula>I111</formula>
    </cfRule>
  </conditionalFormatting>
  <conditionalFormatting sqref="M112">
    <cfRule type="cellIs" dxfId="0" priority="180" operator="lessThanOrEqual">
      <formula>I112</formula>
    </cfRule>
  </conditionalFormatting>
  <conditionalFormatting sqref="M113">
    <cfRule type="cellIs" dxfId="0" priority="182" operator="lessThanOrEqual">
      <formula>I113</formula>
    </cfRule>
  </conditionalFormatting>
  <conditionalFormatting sqref="M114">
    <cfRule type="cellIs" dxfId="0" priority="184" operator="lessThanOrEqual">
      <formula>I114</formula>
    </cfRule>
  </conditionalFormatting>
  <conditionalFormatting sqref="M115">
    <cfRule type="cellIs" dxfId="0" priority="186" operator="lessThanOrEqual">
      <formula>I115</formula>
    </cfRule>
  </conditionalFormatting>
  <conditionalFormatting sqref="M117">
    <cfRule type="cellIs" dxfId="0" priority="188" operator="lessThanOrEqual">
      <formula>I117</formula>
    </cfRule>
  </conditionalFormatting>
  <conditionalFormatting sqref="M118">
    <cfRule type="cellIs" dxfId="0" priority="190" operator="lessThanOrEqual">
      <formula>I118</formula>
    </cfRule>
  </conditionalFormatting>
  <conditionalFormatting sqref="M119">
    <cfRule type="cellIs" dxfId="0" priority="192" operator="lessThanOrEqual">
      <formula>I119</formula>
    </cfRule>
  </conditionalFormatting>
  <conditionalFormatting sqref="M12">
    <cfRule type="cellIs" dxfId="0" priority="10" operator="lessThanOrEqual">
      <formula>I12</formula>
    </cfRule>
  </conditionalFormatting>
  <conditionalFormatting sqref="M120">
    <cfRule type="cellIs" dxfId="0" priority="194" operator="lessThanOrEqual">
      <formula>I120</formula>
    </cfRule>
  </conditionalFormatting>
  <conditionalFormatting sqref="M121">
    <cfRule type="cellIs" dxfId="0" priority="196" operator="lessThanOrEqual">
      <formula>I121</formula>
    </cfRule>
  </conditionalFormatting>
  <conditionalFormatting sqref="M124">
    <cfRule type="cellIs" dxfId="0" priority="198" operator="lessThanOrEqual">
      <formula>I124</formula>
    </cfRule>
  </conditionalFormatting>
  <conditionalFormatting sqref="M126">
    <cfRule type="cellIs" dxfId="0" priority="200" operator="lessThanOrEqual">
      <formula>I126</formula>
    </cfRule>
  </conditionalFormatting>
  <conditionalFormatting sqref="M127">
    <cfRule type="cellIs" dxfId="0" priority="202" operator="lessThanOrEqual">
      <formula>I127</formula>
    </cfRule>
  </conditionalFormatting>
  <conditionalFormatting sqref="M129">
    <cfRule type="cellIs" dxfId="0" priority="204" operator="lessThanOrEqual">
      <formula>I129</formula>
    </cfRule>
  </conditionalFormatting>
  <conditionalFormatting sqref="M130">
    <cfRule type="cellIs" dxfId="0" priority="206" operator="lessThanOrEqual">
      <formula>I130</formula>
    </cfRule>
  </conditionalFormatting>
  <conditionalFormatting sqref="M131">
    <cfRule type="cellIs" dxfId="0" priority="208" operator="lessThanOrEqual">
      <formula>I131</formula>
    </cfRule>
  </conditionalFormatting>
  <conditionalFormatting sqref="M132">
    <cfRule type="cellIs" dxfId="0" priority="210" operator="lessThanOrEqual">
      <formula>I132</formula>
    </cfRule>
  </conditionalFormatting>
  <conditionalFormatting sqref="M134">
    <cfRule type="cellIs" dxfId="0" priority="212" operator="lessThanOrEqual">
      <formula>I134</formula>
    </cfRule>
  </conditionalFormatting>
  <conditionalFormatting sqref="M135">
    <cfRule type="cellIs" dxfId="0" priority="214" operator="lessThanOrEqual">
      <formula>I135</formula>
    </cfRule>
  </conditionalFormatting>
  <conditionalFormatting sqref="M136">
    <cfRule type="cellIs" dxfId="0" priority="216" operator="lessThanOrEqual">
      <formula>I136</formula>
    </cfRule>
  </conditionalFormatting>
  <conditionalFormatting sqref="M137">
    <cfRule type="cellIs" dxfId="0" priority="218" operator="lessThanOrEqual">
      <formula>I137</formula>
    </cfRule>
  </conditionalFormatting>
  <conditionalFormatting sqref="M138">
    <cfRule type="cellIs" dxfId="0" priority="220" operator="lessThanOrEqual">
      <formula>I138</formula>
    </cfRule>
  </conditionalFormatting>
  <conditionalFormatting sqref="M139">
    <cfRule type="cellIs" dxfId="0" priority="222" operator="lessThanOrEqual">
      <formula>I139</formula>
    </cfRule>
  </conditionalFormatting>
  <conditionalFormatting sqref="M14">
    <cfRule type="cellIs" dxfId="0" priority="12" operator="lessThanOrEqual">
      <formula>I14</formula>
    </cfRule>
  </conditionalFormatting>
  <conditionalFormatting sqref="M140">
    <cfRule type="cellIs" dxfId="0" priority="224" operator="lessThanOrEqual">
      <formula>I140</formula>
    </cfRule>
  </conditionalFormatting>
  <conditionalFormatting sqref="M141">
    <cfRule type="cellIs" dxfId="0" priority="226" operator="lessThanOrEqual">
      <formula>I141</formula>
    </cfRule>
  </conditionalFormatting>
  <conditionalFormatting sqref="M142">
    <cfRule type="cellIs" dxfId="0" priority="228" operator="lessThanOrEqual">
      <formula>I142</formula>
    </cfRule>
  </conditionalFormatting>
  <conditionalFormatting sqref="M143">
    <cfRule type="cellIs" dxfId="0" priority="230" operator="lessThanOrEqual">
      <formula>I143</formula>
    </cfRule>
  </conditionalFormatting>
  <conditionalFormatting sqref="M144">
    <cfRule type="cellIs" dxfId="0" priority="232" operator="lessThanOrEqual">
      <formula>I144</formula>
    </cfRule>
  </conditionalFormatting>
  <conditionalFormatting sqref="M145">
    <cfRule type="cellIs" dxfId="0" priority="234" operator="lessThanOrEqual">
      <formula>I145</formula>
    </cfRule>
  </conditionalFormatting>
  <conditionalFormatting sqref="M147">
    <cfRule type="cellIs" dxfId="0" priority="236" operator="lessThanOrEqual">
      <formula>I147</formula>
    </cfRule>
  </conditionalFormatting>
  <conditionalFormatting sqref="M148">
    <cfRule type="cellIs" dxfId="0" priority="238" operator="lessThanOrEqual">
      <formula>I148</formula>
    </cfRule>
  </conditionalFormatting>
  <conditionalFormatting sqref="M149">
    <cfRule type="cellIs" dxfId="0" priority="240" operator="lessThanOrEqual">
      <formula>I149</formula>
    </cfRule>
  </conditionalFormatting>
  <conditionalFormatting sqref="M15">
    <cfRule type="cellIs" dxfId="0" priority="14" operator="lessThanOrEqual">
      <formula>I15</formula>
    </cfRule>
  </conditionalFormatting>
  <conditionalFormatting sqref="M150">
    <cfRule type="cellIs" dxfId="0" priority="242" operator="lessThanOrEqual">
      <formula>I150</formula>
    </cfRule>
  </conditionalFormatting>
  <conditionalFormatting sqref="M151">
    <cfRule type="cellIs" dxfId="0" priority="244" operator="lessThanOrEqual">
      <formula>I151</formula>
    </cfRule>
  </conditionalFormatting>
  <conditionalFormatting sqref="M152">
    <cfRule type="cellIs" dxfId="0" priority="246" operator="lessThanOrEqual">
      <formula>I152</formula>
    </cfRule>
  </conditionalFormatting>
  <conditionalFormatting sqref="M153">
    <cfRule type="cellIs" dxfId="0" priority="248" operator="lessThanOrEqual">
      <formula>I153</formula>
    </cfRule>
  </conditionalFormatting>
  <conditionalFormatting sqref="M154">
    <cfRule type="cellIs" dxfId="0" priority="250" operator="lessThanOrEqual">
      <formula>I154</formula>
    </cfRule>
  </conditionalFormatting>
  <conditionalFormatting sqref="M156">
    <cfRule type="cellIs" dxfId="0" priority="252" operator="lessThanOrEqual">
      <formula>I156</formula>
    </cfRule>
  </conditionalFormatting>
  <conditionalFormatting sqref="M158">
    <cfRule type="cellIs" dxfId="0" priority="254" operator="lessThanOrEqual">
      <formula>I158</formula>
    </cfRule>
  </conditionalFormatting>
  <conditionalFormatting sqref="M16">
    <cfRule type="cellIs" dxfId="0" priority="16" operator="lessThanOrEqual">
      <formula>I16</formula>
    </cfRule>
  </conditionalFormatting>
  <conditionalFormatting sqref="M160">
    <cfRule type="cellIs" dxfId="0" priority="256" operator="lessThanOrEqual">
      <formula>I160</formula>
    </cfRule>
  </conditionalFormatting>
  <conditionalFormatting sqref="M161">
    <cfRule type="cellIs" dxfId="0" priority="258" operator="lessThanOrEqual">
      <formula>I161</formula>
    </cfRule>
  </conditionalFormatting>
  <conditionalFormatting sqref="M162">
    <cfRule type="cellIs" dxfId="0" priority="260" operator="lessThanOrEqual">
      <formula>I162</formula>
    </cfRule>
  </conditionalFormatting>
  <conditionalFormatting sqref="M163">
    <cfRule type="cellIs" dxfId="0" priority="262" operator="lessThanOrEqual">
      <formula>I163</formula>
    </cfRule>
  </conditionalFormatting>
  <conditionalFormatting sqref="M164">
    <cfRule type="cellIs" dxfId="0" priority="264" operator="lessThanOrEqual">
      <formula>I164</formula>
    </cfRule>
  </conditionalFormatting>
  <conditionalFormatting sqref="M165">
    <cfRule type="cellIs" dxfId="0" priority="266" operator="lessThanOrEqual">
      <formula>I165</formula>
    </cfRule>
  </conditionalFormatting>
  <conditionalFormatting sqref="M17">
    <cfRule type="cellIs" dxfId="0" priority="18" operator="lessThanOrEqual">
      <formula>I17</formula>
    </cfRule>
  </conditionalFormatting>
  <conditionalFormatting sqref="M18">
    <cfRule type="cellIs" dxfId="0" priority="20" operator="lessThanOrEqual">
      <formula>I18</formula>
    </cfRule>
  </conditionalFormatting>
  <conditionalFormatting sqref="M19">
    <cfRule type="cellIs" dxfId="0" priority="22" operator="lessThanOrEqual">
      <formula>I19</formula>
    </cfRule>
  </conditionalFormatting>
  <conditionalFormatting sqref="M20">
    <cfRule type="cellIs" dxfId="0" priority="24" operator="lessThanOrEqual">
      <formula>I20</formula>
    </cfRule>
  </conditionalFormatting>
  <conditionalFormatting sqref="M21">
    <cfRule type="cellIs" dxfId="0" priority="26" operator="lessThanOrEqual">
      <formula>I21</formula>
    </cfRule>
  </conditionalFormatting>
  <conditionalFormatting sqref="M22">
    <cfRule type="cellIs" dxfId="0" priority="28" operator="lessThanOrEqual">
      <formula>I22</formula>
    </cfRule>
  </conditionalFormatting>
  <conditionalFormatting sqref="M23">
    <cfRule type="cellIs" dxfId="0" priority="30" operator="lessThanOrEqual">
      <formula>I23</formula>
    </cfRule>
  </conditionalFormatting>
  <conditionalFormatting sqref="M24">
    <cfRule type="cellIs" dxfId="0" priority="32" operator="lessThanOrEqual">
      <formula>I24</formula>
    </cfRule>
  </conditionalFormatting>
  <conditionalFormatting sqref="M25">
    <cfRule type="cellIs" dxfId="0" priority="34" operator="lessThanOrEqual">
      <formula>I25</formula>
    </cfRule>
  </conditionalFormatting>
  <conditionalFormatting sqref="M27">
    <cfRule type="cellIs" dxfId="0" priority="36" operator="lessThanOrEqual">
      <formula>I27</formula>
    </cfRule>
  </conditionalFormatting>
  <conditionalFormatting sqref="M28">
    <cfRule type="cellIs" dxfId="0" priority="38" operator="lessThanOrEqual">
      <formula>I28</formula>
    </cfRule>
  </conditionalFormatting>
  <conditionalFormatting sqref="M29">
    <cfRule type="cellIs" dxfId="0" priority="40" operator="lessThanOrEqual">
      <formula>I29</formula>
    </cfRule>
  </conditionalFormatting>
  <conditionalFormatting sqref="M30">
    <cfRule type="cellIs" dxfId="0" priority="42" operator="lessThanOrEqual">
      <formula>I30</formula>
    </cfRule>
  </conditionalFormatting>
  <conditionalFormatting sqref="M31">
    <cfRule type="cellIs" dxfId="0" priority="44" operator="lessThanOrEqual">
      <formula>I31</formula>
    </cfRule>
  </conditionalFormatting>
  <conditionalFormatting sqref="M32">
    <cfRule type="cellIs" dxfId="0" priority="46" operator="lessThanOrEqual">
      <formula>I32</formula>
    </cfRule>
  </conditionalFormatting>
  <conditionalFormatting sqref="M33">
    <cfRule type="cellIs" dxfId="0" priority="48" operator="lessThanOrEqual">
      <formula>I33</formula>
    </cfRule>
  </conditionalFormatting>
  <conditionalFormatting sqref="M34">
    <cfRule type="cellIs" dxfId="0" priority="50" operator="lessThanOrEqual">
      <formula>I34</formula>
    </cfRule>
  </conditionalFormatting>
  <conditionalFormatting sqref="M35">
    <cfRule type="cellIs" dxfId="0" priority="52" operator="lessThanOrEqual">
      <formula>I35</formula>
    </cfRule>
  </conditionalFormatting>
  <conditionalFormatting sqref="M37">
    <cfRule type="cellIs" dxfId="0" priority="54" operator="lessThanOrEqual">
      <formula>I37</formula>
    </cfRule>
  </conditionalFormatting>
  <conditionalFormatting sqref="M38">
    <cfRule type="cellIs" dxfId="0" priority="56" operator="lessThanOrEqual">
      <formula>I38</formula>
    </cfRule>
  </conditionalFormatting>
  <conditionalFormatting sqref="M39">
    <cfRule type="cellIs" dxfId="0" priority="58" operator="lessThanOrEqual">
      <formula>I39</formula>
    </cfRule>
  </conditionalFormatting>
  <conditionalFormatting sqref="M40">
    <cfRule type="cellIs" dxfId="0" priority="60" operator="lessThanOrEqual">
      <formula>I40</formula>
    </cfRule>
  </conditionalFormatting>
  <conditionalFormatting sqref="M41">
    <cfRule type="cellIs" dxfId="0" priority="62" operator="lessThanOrEqual">
      <formula>I41</formula>
    </cfRule>
  </conditionalFormatting>
  <conditionalFormatting sqref="M43">
    <cfRule type="cellIs" dxfId="0" priority="64" operator="lessThanOrEqual">
      <formula>I43</formula>
    </cfRule>
  </conditionalFormatting>
  <conditionalFormatting sqref="M44">
    <cfRule type="cellIs" dxfId="0" priority="66" operator="lessThanOrEqual">
      <formula>I44</formula>
    </cfRule>
  </conditionalFormatting>
  <conditionalFormatting sqref="M45">
    <cfRule type="cellIs" dxfId="0" priority="68" operator="lessThanOrEqual">
      <formula>I45</formula>
    </cfRule>
  </conditionalFormatting>
  <conditionalFormatting sqref="M46">
    <cfRule type="cellIs" dxfId="0" priority="70" operator="lessThanOrEqual">
      <formula>I46</formula>
    </cfRule>
  </conditionalFormatting>
  <conditionalFormatting sqref="M47">
    <cfRule type="cellIs" dxfId="0" priority="72" operator="lessThanOrEqual">
      <formula>I47</formula>
    </cfRule>
  </conditionalFormatting>
  <conditionalFormatting sqref="M49">
    <cfRule type="cellIs" dxfId="0" priority="74" operator="lessThanOrEqual">
      <formula>I49</formula>
    </cfRule>
  </conditionalFormatting>
  <conditionalFormatting sqref="M50">
    <cfRule type="cellIs" dxfId="0" priority="76" operator="lessThanOrEqual">
      <formula>I50</formula>
    </cfRule>
  </conditionalFormatting>
  <conditionalFormatting sqref="M51">
    <cfRule type="cellIs" dxfId="0" priority="78" operator="lessThanOrEqual">
      <formula>I51</formula>
    </cfRule>
  </conditionalFormatting>
  <conditionalFormatting sqref="M52">
    <cfRule type="cellIs" dxfId="0" priority="80" operator="lessThanOrEqual">
      <formula>I52</formula>
    </cfRule>
  </conditionalFormatting>
  <conditionalFormatting sqref="M53">
    <cfRule type="cellIs" dxfId="0" priority="82" operator="lessThanOrEqual">
      <formula>I53</formula>
    </cfRule>
  </conditionalFormatting>
  <conditionalFormatting sqref="M54">
    <cfRule type="cellIs" dxfId="0" priority="84" operator="lessThanOrEqual">
      <formula>I54</formula>
    </cfRule>
  </conditionalFormatting>
  <conditionalFormatting sqref="M55">
    <cfRule type="cellIs" dxfId="0" priority="86" operator="lessThanOrEqual">
      <formula>I55</formula>
    </cfRule>
  </conditionalFormatting>
  <conditionalFormatting sqref="M56">
    <cfRule type="cellIs" dxfId="0" priority="88" operator="lessThanOrEqual">
      <formula>I56</formula>
    </cfRule>
  </conditionalFormatting>
  <conditionalFormatting sqref="M57">
    <cfRule type="cellIs" dxfId="0" priority="90" operator="lessThanOrEqual">
      <formula>I57</formula>
    </cfRule>
  </conditionalFormatting>
  <conditionalFormatting sqref="M58">
    <cfRule type="cellIs" dxfId="0" priority="92" operator="lessThanOrEqual">
      <formula>I58</formula>
    </cfRule>
  </conditionalFormatting>
  <conditionalFormatting sqref="M59">
    <cfRule type="cellIs" dxfId="0" priority="94" operator="lessThanOrEqual">
      <formula>I59</formula>
    </cfRule>
  </conditionalFormatting>
  <conditionalFormatting sqref="M60">
    <cfRule type="cellIs" dxfId="0" priority="96" operator="lessThanOrEqual">
      <formula>I60</formula>
    </cfRule>
  </conditionalFormatting>
  <conditionalFormatting sqref="M61">
    <cfRule type="cellIs" dxfId="0" priority="98" operator="lessThanOrEqual">
      <formula>I61</formula>
    </cfRule>
  </conditionalFormatting>
  <conditionalFormatting sqref="M62">
    <cfRule type="cellIs" dxfId="0" priority="100" operator="lessThanOrEqual">
      <formula>I62</formula>
    </cfRule>
  </conditionalFormatting>
  <conditionalFormatting sqref="M63">
    <cfRule type="cellIs" dxfId="0" priority="102" operator="lessThanOrEqual">
      <formula>I63</formula>
    </cfRule>
  </conditionalFormatting>
  <conditionalFormatting sqref="M64">
    <cfRule type="cellIs" dxfId="0" priority="104" operator="lessThanOrEqual">
      <formula>I64</formula>
    </cfRule>
  </conditionalFormatting>
  <conditionalFormatting sqref="M65">
    <cfRule type="cellIs" dxfId="0" priority="106" operator="lessThanOrEqual">
      <formula>I65</formula>
    </cfRule>
  </conditionalFormatting>
  <conditionalFormatting sqref="M66">
    <cfRule type="cellIs" dxfId="0" priority="108" operator="lessThanOrEqual">
      <formula>I66</formula>
    </cfRule>
  </conditionalFormatting>
  <conditionalFormatting sqref="M68">
    <cfRule type="cellIs" dxfId="0" priority="110" operator="lessThanOrEqual">
      <formula>I68</formula>
    </cfRule>
  </conditionalFormatting>
  <conditionalFormatting sqref="M69">
    <cfRule type="cellIs" dxfId="0" priority="112" operator="lessThanOrEqual">
      <formula>I69</formula>
    </cfRule>
  </conditionalFormatting>
  <conditionalFormatting sqref="M7">
    <cfRule type="cellIs" dxfId="0" priority="2" operator="lessThanOrEqual">
      <formula>I7</formula>
    </cfRule>
  </conditionalFormatting>
  <conditionalFormatting sqref="M70">
    <cfRule type="cellIs" dxfId="0" priority="114" operator="lessThanOrEqual">
      <formula>I70</formula>
    </cfRule>
  </conditionalFormatting>
  <conditionalFormatting sqref="M71">
    <cfRule type="cellIs" dxfId="0" priority="116" operator="lessThanOrEqual">
      <formula>I71</formula>
    </cfRule>
  </conditionalFormatting>
  <conditionalFormatting sqref="M73">
    <cfRule type="cellIs" dxfId="0" priority="118" operator="lessThanOrEqual">
      <formula>I73</formula>
    </cfRule>
  </conditionalFormatting>
  <conditionalFormatting sqref="M75">
    <cfRule type="cellIs" dxfId="0" priority="120" operator="lessThanOrEqual">
      <formula>I75</formula>
    </cfRule>
  </conditionalFormatting>
  <conditionalFormatting sqref="M76">
    <cfRule type="cellIs" dxfId="0" priority="122" operator="lessThanOrEqual">
      <formula>I76</formula>
    </cfRule>
  </conditionalFormatting>
  <conditionalFormatting sqref="M78">
    <cfRule type="cellIs" dxfId="0" priority="124" operator="lessThanOrEqual">
      <formula>I78</formula>
    </cfRule>
  </conditionalFormatting>
  <conditionalFormatting sqref="M79">
    <cfRule type="cellIs" dxfId="0" priority="126" operator="lessThanOrEqual">
      <formula>I79</formula>
    </cfRule>
  </conditionalFormatting>
  <conditionalFormatting sqref="M8">
    <cfRule type="cellIs" dxfId="0" priority="4" operator="lessThanOrEqual">
      <formula>I8</formula>
    </cfRule>
  </conditionalFormatting>
  <conditionalFormatting sqref="M80">
    <cfRule type="cellIs" dxfId="0" priority="128" operator="lessThanOrEqual">
      <formula>I80</formula>
    </cfRule>
  </conditionalFormatting>
  <conditionalFormatting sqref="M81">
    <cfRule type="cellIs" dxfId="0" priority="130" operator="lessThanOrEqual">
      <formula>I81</formula>
    </cfRule>
  </conditionalFormatting>
  <conditionalFormatting sqref="M82">
    <cfRule type="cellIs" dxfId="0" priority="132" operator="lessThanOrEqual">
      <formula>I82</formula>
    </cfRule>
  </conditionalFormatting>
  <conditionalFormatting sqref="M84">
    <cfRule type="cellIs" dxfId="0" priority="134" operator="lessThanOrEqual">
      <formula>I84</formula>
    </cfRule>
  </conditionalFormatting>
  <conditionalFormatting sqref="M85">
    <cfRule type="cellIs" dxfId="0" priority="136" operator="lessThanOrEqual">
      <formula>I85</formula>
    </cfRule>
  </conditionalFormatting>
  <conditionalFormatting sqref="M87">
    <cfRule type="cellIs" dxfId="0" priority="138" operator="lessThanOrEqual">
      <formula>I87</formula>
    </cfRule>
  </conditionalFormatting>
  <conditionalFormatting sqref="M88">
    <cfRule type="cellIs" dxfId="0" priority="140" operator="lessThanOrEqual">
      <formula>I88</formula>
    </cfRule>
  </conditionalFormatting>
  <conditionalFormatting sqref="M89">
    <cfRule type="cellIs" dxfId="0" priority="142" operator="lessThanOrEqual">
      <formula>I89</formula>
    </cfRule>
  </conditionalFormatting>
  <conditionalFormatting sqref="M90">
    <cfRule type="cellIs" dxfId="0" priority="144" operator="lessThanOrEqual">
      <formula>I90</formula>
    </cfRule>
  </conditionalFormatting>
  <conditionalFormatting sqref="M92">
    <cfRule type="cellIs" dxfId="0" priority="146" operator="lessThanOrEqual">
      <formula>I92</formula>
    </cfRule>
  </conditionalFormatting>
  <conditionalFormatting sqref="M93">
    <cfRule type="cellIs" dxfId="0" priority="148" operator="lessThanOrEqual">
      <formula>I93</formula>
    </cfRule>
  </conditionalFormatting>
  <conditionalFormatting sqref="M96">
    <cfRule type="cellIs" dxfId="0" priority="150" operator="lessThanOrEqual">
      <formula>I96</formula>
    </cfRule>
  </conditionalFormatting>
  <conditionalFormatting sqref="M97">
    <cfRule type="cellIs" dxfId="0" priority="152" operator="lessThanOrEqual">
      <formula>I97</formula>
    </cfRule>
  </conditionalFormatting>
  <conditionalFormatting sqref="M98">
    <cfRule type="cellIs" dxfId="0" priority="154" operator="lessThanOrEqual">
      <formula>I98</formula>
    </cfRule>
  </conditionalFormatting>
  <conditionalFormatting sqref="M99">
    <cfRule type="cellIs" dxfId="0" priority="156" operator="lessThanOrEqual">
      <formula>I99</formula>
    </cfRule>
  </conditionalFormatting>
  <conditionalFormatting sqref="R12">
    <cfRule type="cellIs" dxfId="0" priority="269" operator="lessThanOrEqual">
      <formula>H12</formula>
    </cfRule>
  </conditionalFormatting>
  <conditionalFormatting sqref="R14">
    <cfRule type="cellIs" dxfId="0" priority="271" operator="lessThanOrEqual">
      <formula>H14</formula>
    </cfRule>
  </conditionalFormatting>
  <conditionalFormatting sqref="R15">
    <cfRule type="cellIs" dxfId="0" priority="273" operator="lessThanOrEqual">
      <formula>H15</formula>
    </cfRule>
  </conditionalFormatting>
  <conditionalFormatting sqref="R18">
    <cfRule type="cellIs" dxfId="0" priority="275" operator="lessThanOrEqual">
      <formula>H18</formula>
    </cfRule>
  </conditionalFormatting>
  <conditionalFormatting sqref="R20">
    <cfRule type="cellIs" dxfId="0" priority="277" operator="lessThanOrEqual">
      <formula>H20</formula>
    </cfRule>
  </conditionalFormatting>
  <conditionalFormatting sqref="R21">
    <cfRule type="cellIs" dxfId="0" priority="279" operator="lessThanOrEqual">
      <formula>H21</formula>
    </cfRule>
  </conditionalFormatting>
  <conditionalFormatting sqref="R22">
    <cfRule type="cellIs" dxfId="0" priority="281" operator="lessThanOrEqual">
      <formula>H22</formula>
    </cfRule>
  </conditionalFormatting>
  <conditionalFormatting sqref="R23">
    <cfRule type="cellIs" dxfId="0" priority="283" operator="lessThanOrEqual">
      <formula>H23</formula>
    </cfRule>
  </conditionalFormatting>
  <conditionalFormatting sqref="R29">
    <cfRule type="cellIs" dxfId="0" priority="285" operator="lessThanOrEqual">
      <formula>H29</formula>
    </cfRule>
  </conditionalFormatting>
  <conditionalFormatting sqref="R30">
    <cfRule type="cellIs" dxfId="0" priority="287" operator="lessThanOrEqual">
      <formula>H30</formula>
    </cfRule>
  </conditionalFormatting>
  <conditionalFormatting sqref="R31">
    <cfRule type="cellIs" dxfId="0" priority="289" operator="lessThanOrEqual">
      <formula>H31</formula>
    </cfRule>
  </conditionalFormatting>
  <conditionalFormatting sqref="R34">
    <cfRule type="cellIs" dxfId="0" priority="291" operator="lessThanOrEqual">
      <formula>H34</formula>
    </cfRule>
  </conditionalFormatting>
  <conditionalFormatting sqref="R7">
    <cfRule type="cellIs" dxfId="0" priority="267" operator="lessThanOrEqual">
      <formula>H7</formula>
    </cfRule>
  </conditionalFormatting>
  <conditionalFormatting sqref="S12">
    <cfRule type="cellIs" dxfId="0" priority="270" operator="lessThanOrEqual">
      <formula>I12</formula>
    </cfRule>
  </conditionalFormatting>
  <conditionalFormatting sqref="S14">
    <cfRule type="cellIs" dxfId="0" priority="272" operator="lessThanOrEqual">
      <formula>I14</formula>
    </cfRule>
  </conditionalFormatting>
  <conditionalFormatting sqref="S15">
    <cfRule type="cellIs" dxfId="0" priority="274" operator="lessThanOrEqual">
      <formula>I15</formula>
    </cfRule>
  </conditionalFormatting>
  <conditionalFormatting sqref="S18">
    <cfRule type="cellIs" dxfId="0" priority="276" operator="lessThanOrEqual">
      <formula>I18</formula>
    </cfRule>
  </conditionalFormatting>
  <conditionalFormatting sqref="S20">
    <cfRule type="cellIs" dxfId="0" priority="278" operator="lessThanOrEqual">
      <formula>I20</formula>
    </cfRule>
  </conditionalFormatting>
  <conditionalFormatting sqref="S21">
    <cfRule type="cellIs" dxfId="0" priority="280" operator="lessThanOrEqual">
      <formula>I21</formula>
    </cfRule>
  </conditionalFormatting>
  <conditionalFormatting sqref="S22">
    <cfRule type="cellIs" dxfId="0" priority="282" operator="lessThanOrEqual">
      <formula>I22</formula>
    </cfRule>
  </conditionalFormatting>
  <conditionalFormatting sqref="S23">
    <cfRule type="cellIs" dxfId="0" priority="284" operator="lessThanOrEqual">
      <formula>I23</formula>
    </cfRule>
  </conditionalFormatting>
  <conditionalFormatting sqref="S29">
    <cfRule type="cellIs" dxfId="0" priority="286" operator="lessThanOrEqual">
      <formula>I29</formula>
    </cfRule>
  </conditionalFormatting>
  <conditionalFormatting sqref="S30">
    <cfRule type="cellIs" dxfId="0" priority="288" operator="lessThanOrEqual">
      <formula>I30</formula>
    </cfRule>
  </conditionalFormatting>
  <conditionalFormatting sqref="S31">
    <cfRule type="cellIs" dxfId="0" priority="290" operator="lessThanOrEqual">
      <formula>I31</formula>
    </cfRule>
  </conditionalFormatting>
  <conditionalFormatting sqref="S34">
    <cfRule type="cellIs" dxfId="0" priority="292" operator="lessThanOrEqual">
      <formula>I34</formula>
    </cfRule>
  </conditionalFormatting>
  <conditionalFormatting sqref="S7">
    <cfRule type="cellIs" dxfId="0" priority="268" operator="lessThanOrEqual">
      <formula>I7</formula>
    </cfRule>
  </conditionalFormatting>
  <conditionalFormatting sqref="X10">
    <cfRule type="cellIs" dxfId="0" priority="297" operator="lessThanOrEqual">
      <formula>H10</formula>
    </cfRule>
  </conditionalFormatting>
  <conditionalFormatting sqref="X100">
    <cfRule type="cellIs" dxfId="0" priority="397" operator="lessThanOrEqual">
      <formula>H100</formula>
    </cfRule>
  </conditionalFormatting>
  <conditionalFormatting sqref="X103">
    <cfRule type="cellIs" dxfId="0" priority="399" operator="lessThanOrEqual">
      <formula>H103</formula>
    </cfRule>
  </conditionalFormatting>
  <conditionalFormatting sqref="X105">
    <cfRule type="cellIs" dxfId="0" priority="401" operator="lessThanOrEqual">
      <formula>H105</formula>
    </cfRule>
  </conditionalFormatting>
  <conditionalFormatting sqref="X106">
    <cfRule type="cellIs" dxfId="0" priority="403" operator="lessThanOrEqual">
      <formula>H106</formula>
    </cfRule>
  </conditionalFormatting>
  <conditionalFormatting sqref="X107">
    <cfRule type="cellIs" dxfId="0" priority="405" operator="lessThanOrEqual">
      <formula>H107</formula>
    </cfRule>
  </conditionalFormatting>
  <conditionalFormatting sqref="X108">
    <cfRule type="cellIs" dxfId="0" priority="407" operator="lessThanOrEqual">
      <formula>H108</formula>
    </cfRule>
  </conditionalFormatting>
  <conditionalFormatting sqref="X109">
    <cfRule type="cellIs" dxfId="0" priority="409" operator="lessThanOrEqual">
      <formula>H109</formula>
    </cfRule>
  </conditionalFormatting>
  <conditionalFormatting sqref="X11">
    <cfRule type="cellIs" dxfId="0" priority="299" operator="lessThanOrEqual">
      <formula>H11</formula>
    </cfRule>
  </conditionalFormatting>
  <conditionalFormatting sqref="X110">
    <cfRule type="cellIs" dxfId="0" priority="411" operator="lessThanOrEqual">
      <formula>H110</formula>
    </cfRule>
  </conditionalFormatting>
  <conditionalFormatting sqref="X111">
    <cfRule type="cellIs" dxfId="0" priority="413" operator="lessThanOrEqual">
      <formula>H111</formula>
    </cfRule>
  </conditionalFormatting>
  <conditionalFormatting sqref="X113">
    <cfRule type="cellIs" dxfId="0" priority="415" operator="lessThanOrEqual">
      <formula>H113</formula>
    </cfRule>
  </conditionalFormatting>
  <conditionalFormatting sqref="X114">
    <cfRule type="cellIs" dxfId="0" priority="417" operator="lessThanOrEqual">
      <formula>H114</formula>
    </cfRule>
  </conditionalFormatting>
  <conditionalFormatting sqref="X115">
    <cfRule type="cellIs" dxfId="0" priority="419" operator="lessThanOrEqual">
      <formula>H115</formula>
    </cfRule>
  </conditionalFormatting>
  <conditionalFormatting sqref="X116">
    <cfRule type="cellIs" dxfId="0" priority="421" operator="lessThanOrEqual">
      <formula>H116</formula>
    </cfRule>
  </conditionalFormatting>
  <conditionalFormatting sqref="X117">
    <cfRule type="cellIs" dxfId="0" priority="423" operator="lessThanOrEqual">
      <formula>H117</formula>
    </cfRule>
  </conditionalFormatting>
  <conditionalFormatting sqref="X118">
    <cfRule type="cellIs" dxfId="0" priority="425" operator="lessThanOrEqual">
      <formula>H118</formula>
    </cfRule>
  </conditionalFormatting>
  <conditionalFormatting sqref="X119">
    <cfRule type="cellIs" dxfId="0" priority="427" operator="lessThanOrEqual">
      <formula>H119</formula>
    </cfRule>
  </conditionalFormatting>
  <conditionalFormatting sqref="X120">
    <cfRule type="cellIs" dxfId="0" priority="429" operator="lessThanOrEqual">
      <formula>H120</formula>
    </cfRule>
  </conditionalFormatting>
  <conditionalFormatting sqref="X121">
    <cfRule type="cellIs" dxfId="0" priority="431" operator="lessThanOrEqual">
      <formula>H121</formula>
    </cfRule>
  </conditionalFormatting>
  <conditionalFormatting sqref="X126">
    <cfRule type="cellIs" dxfId="0" priority="433" operator="lessThanOrEqual">
      <formula>H126</formula>
    </cfRule>
  </conditionalFormatting>
  <conditionalFormatting sqref="X129">
    <cfRule type="cellIs" dxfId="0" priority="435" operator="lessThanOrEqual">
      <formula>H129</formula>
    </cfRule>
  </conditionalFormatting>
  <conditionalFormatting sqref="X130">
    <cfRule type="cellIs" dxfId="0" priority="437" operator="lessThanOrEqual">
      <formula>H130</formula>
    </cfRule>
  </conditionalFormatting>
  <conditionalFormatting sqref="X132">
    <cfRule type="cellIs" dxfId="0" priority="439" operator="lessThanOrEqual">
      <formula>H132</formula>
    </cfRule>
  </conditionalFormatting>
  <conditionalFormatting sqref="X134">
    <cfRule type="cellIs" dxfId="0" priority="441" operator="lessThanOrEqual">
      <formula>H134</formula>
    </cfRule>
  </conditionalFormatting>
  <conditionalFormatting sqref="X135">
    <cfRule type="cellIs" dxfId="0" priority="443" operator="lessThanOrEqual">
      <formula>H135</formula>
    </cfRule>
  </conditionalFormatting>
  <conditionalFormatting sqref="X136">
    <cfRule type="cellIs" dxfId="0" priority="445" operator="lessThanOrEqual">
      <formula>H136</formula>
    </cfRule>
  </conditionalFormatting>
  <conditionalFormatting sqref="X137">
    <cfRule type="cellIs" dxfId="0" priority="447" operator="lessThanOrEqual">
      <formula>H137</formula>
    </cfRule>
  </conditionalFormatting>
  <conditionalFormatting sqref="X138">
    <cfRule type="cellIs" dxfId="0" priority="449" operator="lessThanOrEqual">
      <formula>H138</formula>
    </cfRule>
  </conditionalFormatting>
  <conditionalFormatting sqref="X139">
    <cfRule type="cellIs" dxfId="0" priority="451" operator="lessThanOrEqual">
      <formula>H139</formula>
    </cfRule>
  </conditionalFormatting>
  <conditionalFormatting sqref="X143">
    <cfRule type="cellIs" dxfId="0" priority="453" operator="lessThanOrEqual">
      <formula>H143</formula>
    </cfRule>
  </conditionalFormatting>
  <conditionalFormatting sqref="X144">
    <cfRule type="cellIs" dxfId="0" priority="455" operator="lessThanOrEqual">
      <formula>H144</formula>
    </cfRule>
  </conditionalFormatting>
  <conditionalFormatting sqref="X145">
    <cfRule type="cellIs" dxfId="0" priority="457" operator="lessThanOrEqual">
      <formula>H145</formula>
    </cfRule>
  </conditionalFormatting>
  <conditionalFormatting sqref="X149">
    <cfRule type="cellIs" dxfId="0" priority="459" operator="lessThanOrEqual">
      <formula>H149</formula>
    </cfRule>
  </conditionalFormatting>
  <conditionalFormatting sqref="X151">
    <cfRule type="cellIs" dxfId="0" priority="461" operator="lessThanOrEqual">
      <formula>H151</formula>
    </cfRule>
  </conditionalFormatting>
  <conditionalFormatting sqref="X152">
    <cfRule type="cellIs" dxfId="0" priority="463" operator="lessThanOrEqual">
      <formula>H152</formula>
    </cfRule>
  </conditionalFormatting>
  <conditionalFormatting sqref="X154">
    <cfRule type="cellIs" dxfId="0" priority="465" operator="lessThanOrEqual">
      <formula>H154</formula>
    </cfRule>
  </conditionalFormatting>
  <conditionalFormatting sqref="X155">
    <cfRule type="cellIs" dxfId="0" priority="467" operator="lessThanOrEqual">
      <formula>H155</formula>
    </cfRule>
  </conditionalFormatting>
  <conditionalFormatting sqref="X158">
    <cfRule type="cellIs" dxfId="0" priority="469" operator="lessThanOrEqual">
      <formula>H158</formula>
    </cfRule>
  </conditionalFormatting>
  <conditionalFormatting sqref="X16">
    <cfRule type="cellIs" dxfId="0" priority="301" operator="lessThanOrEqual">
      <formula>H16</formula>
    </cfRule>
  </conditionalFormatting>
  <conditionalFormatting sqref="X161">
    <cfRule type="cellIs" dxfId="0" priority="471" operator="lessThanOrEqual">
      <formula>H161</formula>
    </cfRule>
  </conditionalFormatting>
  <conditionalFormatting sqref="X18">
    <cfRule type="cellIs" dxfId="0" priority="303" operator="lessThanOrEqual">
      <formula>H18</formula>
    </cfRule>
  </conditionalFormatting>
  <conditionalFormatting sqref="X19">
    <cfRule type="cellIs" dxfId="0" priority="305" operator="lessThanOrEqual">
      <formula>H19</formula>
    </cfRule>
  </conditionalFormatting>
  <conditionalFormatting sqref="X20">
    <cfRule type="cellIs" dxfId="0" priority="307" operator="lessThanOrEqual">
      <formula>H20</formula>
    </cfRule>
  </conditionalFormatting>
  <conditionalFormatting sqref="X21">
    <cfRule type="cellIs" dxfId="0" priority="309" operator="lessThanOrEqual">
      <formula>H21</formula>
    </cfRule>
  </conditionalFormatting>
  <conditionalFormatting sqref="X22">
    <cfRule type="cellIs" dxfId="0" priority="311" operator="lessThanOrEqual">
      <formula>H22</formula>
    </cfRule>
  </conditionalFormatting>
  <conditionalFormatting sqref="X23">
    <cfRule type="cellIs" dxfId="0" priority="313" operator="lessThanOrEqual">
      <formula>H23</formula>
    </cfRule>
  </conditionalFormatting>
  <conditionalFormatting sqref="X24">
    <cfRule type="cellIs" dxfId="0" priority="315" operator="lessThanOrEqual">
      <formula>H24</formula>
    </cfRule>
  </conditionalFormatting>
  <conditionalFormatting sqref="X29">
    <cfRule type="cellIs" dxfId="0" priority="317" operator="lessThanOrEqual">
      <formula>H29</formula>
    </cfRule>
  </conditionalFormatting>
  <conditionalFormatting sqref="X30">
    <cfRule type="cellIs" dxfId="0" priority="319" operator="lessThanOrEqual">
      <formula>H30</formula>
    </cfRule>
  </conditionalFormatting>
  <conditionalFormatting sqref="X31">
    <cfRule type="cellIs" dxfId="0" priority="321" operator="lessThanOrEqual">
      <formula>H31</formula>
    </cfRule>
  </conditionalFormatting>
  <conditionalFormatting sqref="X32">
    <cfRule type="cellIs" dxfId="0" priority="323" operator="lessThanOrEqual">
      <formula>H32</formula>
    </cfRule>
  </conditionalFormatting>
  <conditionalFormatting sqref="X33">
    <cfRule type="cellIs" dxfId="0" priority="325" operator="lessThanOrEqual">
      <formula>H33</formula>
    </cfRule>
  </conditionalFormatting>
  <conditionalFormatting sqref="X34">
    <cfRule type="cellIs" dxfId="0" priority="327" operator="lessThanOrEqual">
      <formula>H34</formula>
    </cfRule>
  </conditionalFormatting>
  <conditionalFormatting sqref="X35">
    <cfRule type="cellIs" dxfId="0" priority="329" operator="lessThanOrEqual">
      <formula>H35</formula>
    </cfRule>
  </conditionalFormatting>
  <conditionalFormatting sqref="X39">
    <cfRule type="cellIs" dxfId="0" priority="331" operator="lessThanOrEqual">
      <formula>H39</formula>
    </cfRule>
  </conditionalFormatting>
  <conditionalFormatting sqref="X40">
    <cfRule type="cellIs" dxfId="0" priority="333" operator="lessThanOrEqual">
      <formula>H40</formula>
    </cfRule>
  </conditionalFormatting>
  <conditionalFormatting sqref="X41">
    <cfRule type="cellIs" dxfId="0" priority="335" operator="lessThanOrEqual">
      <formula>H41</formula>
    </cfRule>
  </conditionalFormatting>
  <conditionalFormatting sqref="X44">
    <cfRule type="cellIs" dxfId="0" priority="337" operator="lessThanOrEqual">
      <formula>H44</formula>
    </cfRule>
  </conditionalFormatting>
  <conditionalFormatting sqref="X46">
    <cfRule type="cellIs" dxfId="0" priority="339" operator="lessThanOrEqual">
      <formula>H46</formula>
    </cfRule>
  </conditionalFormatting>
  <conditionalFormatting sqref="X47">
    <cfRule type="cellIs" dxfId="0" priority="341" operator="lessThanOrEqual">
      <formula>H47</formula>
    </cfRule>
  </conditionalFormatting>
  <conditionalFormatting sqref="X49">
    <cfRule type="cellIs" dxfId="0" priority="343" operator="lessThanOrEqual">
      <formula>H49</formula>
    </cfRule>
  </conditionalFormatting>
  <conditionalFormatting sqref="X50">
    <cfRule type="cellIs" dxfId="0" priority="345" operator="lessThanOrEqual">
      <formula>H50</formula>
    </cfRule>
  </conditionalFormatting>
  <conditionalFormatting sqref="X51">
    <cfRule type="cellIs" dxfId="0" priority="347" operator="lessThanOrEqual">
      <formula>H51</formula>
    </cfRule>
  </conditionalFormatting>
  <conditionalFormatting sqref="X53">
    <cfRule type="cellIs" dxfId="0" priority="349" operator="lessThanOrEqual">
      <formula>H53</formula>
    </cfRule>
  </conditionalFormatting>
  <conditionalFormatting sqref="X54">
    <cfRule type="cellIs" dxfId="0" priority="351" operator="lessThanOrEqual">
      <formula>H54</formula>
    </cfRule>
  </conditionalFormatting>
  <conditionalFormatting sqref="X55">
    <cfRule type="cellIs" dxfId="0" priority="353" operator="lessThanOrEqual">
      <formula>H55</formula>
    </cfRule>
  </conditionalFormatting>
  <conditionalFormatting sqref="X56">
    <cfRule type="cellIs" dxfId="0" priority="355" operator="lessThanOrEqual">
      <formula>H56</formula>
    </cfRule>
  </conditionalFormatting>
  <conditionalFormatting sqref="X59">
    <cfRule type="cellIs" dxfId="0" priority="357" operator="lessThanOrEqual">
      <formula>H59</formula>
    </cfRule>
  </conditionalFormatting>
  <conditionalFormatting sqref="X60">
    <cfRule type="cellIs" dxfId="0" priority="359" operator="lessThanOrEqual">
      <formula>H60</formula>
    </cfRule>
  </conditionalFormatting>
  <conditionalFormatting sqref="X61">
    <cfRule type="cellIs" dxfId="0" priority="361" operator="lessThanOrEqual">
      <formula>H61</formula>
    </cfRule>
  </conditionalFormatting>
  <conditionalFormatting sqref="X62">
    <cfRule type="cellIs" dxfId="0" priority="363" operator="lessThanOrEqual">
      <formula>H62</formula>
    </cfRule>
  </conditionalFormatting>
  <conditionalFormatting sqref="X63">
    <cfRule type="cellIs" dxfId="0" priority="365" operator="lessThanOrEqual">
      <formula>H63</formula>
    </cfRule>
  </conditionalFormatting>
  <conditionalFormatting sqref="X65">
    <cfRule type="cellIs" dxfId="0" priority="367" operator="lessThanOrEqual">
      <formula>H65</formula>
    </cfRule>
  </conditionalFormatting>
  <conditionalFormatting sqref="X68">
    <cfRule type="cellIs" dxfId="0" priority="369" operator="lessThanOrEqual">
      <formula>H68</formula>
    </cfRule>
  </conditionalFormatting>
  <conditionalFormatting sqref="X69">
    <cfRule type="cellIs" dxfId="0" priority="371" operator="lessThanOrEqual">
      <formula>H69</formula>
    </cfRule>
  </conditionalFormatting>
  <conditionalFormatting sqref="X7">
    <cfRule type="cellIs" dxfId="0" priority="293" operator="lessThanOrEqual">
      <formula>H7</formula>
    </cfRule>
  </conditionalFormatting>
  <conditionalFormatting sqref="X70">
    <cfRule type="cellIs" dxfId="0" priority="373" operator="lessThanOrEqual">
      <formula>H70</formula>
    </cfRule>
  </conditionalFormatting>
  <conditionalFormatting sqref="X74">
    <cfRule type="cellIs" dxfId="0" priority="375" operator="lessThanOrEqual">
      <formula>H74</formula>
    </cfRule>
  </conditionalFormatting>
  <conditionalFormatting sqref="X75">
    <cfRule type="cellIs" dxfId="0" priority="377" operator="lessThanOrEqual">
      <formula>H75</formula>
    </cfRule>
  </conditionalFormatting>
  <conditionalFormatting sqref="X76">
    <cfRule type="cellIs" dxfId="0" priority="379" operator="lessThanOrEqual">
      <formula>H76</formula>
    </cfRule>
  </conditionalFormatting>
  <conditionalFormatting sqref="X80">
    <cfRule type="cellIs" dxfId="0" priority="381" operator="lessThanOrEqual">
      <formula>H80</formula>
    </cfRule>
  </conditionalFormatting>
  <conditionalFormatting sqref="X82">
    <cfRule type="cellIs" dxfId="0" priority="383" operator="lessThanOrEqual">
      <formula>H82</formula>
    </cfRule>
  </conditionalFormatting>
  <conditionalFormatting sqref="X85">
    <cfRule type="cellIs" dxfId="0" priority="385" operator="lessThanOrEqual">
      <formula>H85</formula>
    </cfRule>
  </conditionalFormatting>
  <conditionalFormatting sqref="X87">
    <cfRule type="cellIs" dxfId="0" priority="387" operator="lessThanOrEqual">
      <formula>H87</formula>
    </cfRule>
  </conditionalFormatting>
  <conditionalFormatting sqref="X89">
    <cfRule type="cellIs" dxfId="0" priority="389" operator="lessThanOrEqual">
      <formula>H89</formula>
    </cfRule>
  </conditionalFormatting>
  <conditionalFormatting sqref="X9">
    <cfRule type="cellIs" dxfId="0" priority="295" operator="lessThanOrEqual">
      <formula>H9</formula>
    </cfRule>
  </conditionalFormatting>
  <conditionalFormatting sqref="X92">
    <cfRule type="cellIs" dxfId="0" priority="391" operator="lessThanOrEqual">
      <formula>H92</formula>
    </cfRule>
  </conditionalFormatting>
  <conditionalFormatting sqref="X93">
    <cfRule type="cellIs" dxfId="0" priority="393" operator="lessThanOrEqual">
      <formula>H93</formula>
    </cfRule>
  </conditionalFormatting>
  <conditionalFormatting sqref="X98">
    <cfRule type="cellIs" dxfId="0" priority="395" operator="lessThanOrEqual">
      <formula>H98</formula>
    </cfRule>
  </conditionalFormatting>
  <conditionalFormatting sqref="Y10">
    <cfRule type="cellIs" dxfId="0" priority="298" operator="lessThanOrEqual">
      <formula>I10</formula>
    </cfRule>
  </conditionalFormatting>
  <conditionalFormatting sqref="Y100">
    <cfRule type="cellIs" dxfId="0" priority="398" operator="lessThanOrEqual">
      <formula>I100</formula>
    </cfRule>
  </conditionalFormatting>
  <conditionalFormatting sqref="Y103">
    <cfRule type="cellIs" dxfId="0" priority="400" operator="lessThanOrEqual">
      <formula>I103</formula>
    </cfRule>
  </conditionalFormatting>
  <conditionalFormatting sqref="Y105">
    <cfRule type="cellIs" dxfId="0" priority="402" operator="lessThanOrEqual">
      <formula>I105</formula>
    </cfRule>
  </conditionalFormatting>
  <conditionalFormatting sqref="Y106">
    <cfRule type="cellIs" dxfId="0" priority="404" operator="lessThanOrEqual">
      <formula>I106</formula>
    </cfRule>
  </conditionalFormatting>
  <conditionalFormatting sqref="Y107">
    <cfRule type="cellIs" dxfId="0" priority="406" operator="lessThanOrEqual">
      <formula>I107</formula>
    </cfRule>
  </conditionalFormatting>
  <conditionalFormatting sqref="Y108">
    <cfRule type="cellIs" dxfId="0" priority="408" operator="lessThanOrEqual">
      <formula>I108</formula>
    </cfRule>
  </conditionalFormatting>
  <conditionalFormatting sqref="Y109">
    <cfRule type="cellIs" dxfId="0" priority="410" operator="lessThanOrEqual">
      <formula>I109</formula>
    </cfRule>
  </conditionalFormatting>
  <conditionalFormatting sqref="Y11">
    <cfRule type="cellIs" dxfId="0" priority="300" operator="lessThanOrEqual">
      <formula>I11</formula>
    </cfRule>
  </conditionalFormatting>
  <conditionalFormatting sqref="Y110">
    <cfRule type="cellIs" dxfId="0" priority="412" operator="lessThanOrEqual">
      <formula>I110</formula>
    </cfRule>
  </conditionalFormatting>
  <conditionalFormatting sqref="Y111">
    <cfRule type="cellIs" dxfId="0" priority="414" operator="lessThanOrEqual">
      <formula>I111</formula>
    </cfRule>
  </conditionalFormatting>
  <conditionalFormatting sqref="Y113">
    <cfRule type="cellIs" dxfId="0" priority="416" operator="lessThanOrEqual">
      <formula>I113</formula>
    </cfRule>
  </conditionalFormatting>
  <conditionalFormatting sqref="Y114">
    <cfRule type="cellIs" dxfId="0" priority="418" operator="lessThanOrEqual">
      <formula>I114</formula>
    </cfRule>
  </conditionalFormatting>
  <conditionalFormatting sqref="Y115">
    <cfRule type="cellIs" dxfId="0" priority="420" operator="lessThanOrEqual">
      <formula>I115</formula>
    </cfRule>
  </conditionalFormatting>
  <conditionalFormatting sqref="Y116">
    <cfRule type="cellIs" dxfId="0" priority="422" operator="lessThanOrEqual">
      <formula>I116</formula>
    </cfRule>
  </conditionalFormatting>
  <conditionalFormatting sqref="Y117">
    <cfRule type="cellIs" dxfId="0" priority="424" operator="lessThanOrEqual">
      <formula>I117</formula>
    </cfRule>
  </conditionalFormatting>
  <conditionalFormatting sqref="Y118">
    <cfRule type="cellIs" dxfId="0" priority="426" operator="lessThanOrEqual">
      <formula>I118</formula>
    </cfRule>
  </conditionalFormatting>
  <conditionalFormatting sqref="Y119">
    <cfRule type="cellIs" dxfId="0" priority="428" operator="lessThanOrEqual">
      <formula>I119</formula>
    </cfRule>
  </conditionalFormatting>
  <conditionalFormatting sqref="Y120">
    <cfRule type="cellIs" dxfId="0" priority="430" operator="lessThanOrEqual">
      <formula>I120</formula>
    </cfRule>
  </conditionalFormatting>
  <conditionalFormatting sqref="Y121">
    <cfRule type="cellIs" dxfId="0" priority="432" operator="lessThanOrEqual">
      <formula>I121</formula>
    </cfRule>
  </conditionalFormatting>
  <conditionalFormatting sqref="Y126">
    <cfRule type="cellIs" dxfId="0" priority="434" operator="lessThanOrEqual">
      <formula>I126</formula>
    </cfRule>
  </conditionalFormatting>
  <conditionalFormatting sqref="Y129">
    <cfRule type="cellIs" dxfId="0" priority="436" operator="lessThanOrEqual">
      <formula>I129</formula>
    </cfRule>
  </conditionalFormatting>
  <conditionalFormatting sqref="Y130">
    <cfRule type="cellIs" dxfId="0" priority="438" operator="lessThanOrEqual">
      <formula>I130</formula>
    </cfRule>
  </conditionalFormatting>
  <conditionalFormatting sqref="Y132">
    <cfRule type="cellIs" dxfId="0" priority="440" operator="lessThanOrEqual">
      <formula>I132</formula>
    </cfRule>
  </conditionalFormatting>
  <conditionalFormatting sqref="Y134">
    <cfRule type="cellIs" dxfId="0" priority="442" operator="lessThanOrEqual">
      <formula>I134</formula>
    </cfRule>
  </conditionalFormatting>
  <conditionalFormatting sqref="Y135">
    <cfRule type="cellIs" dxfId="0" priority="444" operator="lessThanOrEqual">
      <formula>I135</formula>
    </cfRule>
  </conditionalFormatting>
  <conditionalFormatting sqref="Y136">
    <cfRule type="cellIs" dxfId="0" priority="446" operator="lessThanOrEqual">
      <formula>I136</formula>
    </cfRule>
  </conditionalFormatting>
  <conditionalFormatting sqref="Y137">
    <cfRule type="cellIs" dxfId="0" priority="448" operator="lessThanOrEqual">
      <formula>I137</formula>
    </cfRule>
  </conditionalFormatting>
  <conditionalFormatting sqref="Y138">
    <cfRule type="cellIs" dxfId="0" priority="450" operator="lessThanOrEqual">
      <formula>I138</formula>
    </cfRule>
  </conditionalFormatting>
  <conditionalFormatting sqref="Y139">
    <cfRule type="cellIs" dxfId="0" priority="452" operator="lessThanOrEqual">
      <formula>I139</formula>
    </cfRule>
  </conditionalFormatting>
  <conditionalFormatting sqref="Y143">
    <cfRule type="cellIs" dxfId="0" priority="454" operator="lessThanOrEqual">
      <formula>I143</formula>
    </cfRule>
  </conditionalFormatting>
  <conditionalFormatting sqref="Y144">
    <cfRule type="cellIs" dxfId="0" priority="456" operator="lessThanOrEqual">
      <formula>I144</formula>
    </cfRule>
  </conditionalFormatting>
  <conditionalFormatting sqref="Y145">
    <cfRule type="cellIs" dxfId="0" priority="458" operator="lessThanOrEqual">
      <formula>I145</formula>
    </cfRule>
  </conditionalFormatting>
  <conditionalFormatting sqref="Y149">
    <cfRule type="cellIs" dxfId="0" priority="460" operator="lessThanOrEqual">
      <formula>I149</formula>
    </cfRule>
  </conditionalFormatting>
  <conditionalFormatting sqref="Y151">
    <cfRule type="cellIs" dxfId="0" priority="462" operator="lessThanOrEqual">
      <formula>I151</formula>
    </cfRule>
  </conditionalFormatting>
  <conditionalFormatting sqref="Y152">
    <cfRule type="cellIs" dxfId="0" priority="464" operator="lessThanOrEqual">
      <formula>I152</formula>
    </cfRule>
  </conditionalFormatting>
  <conditionalFormatting sqref="Y154">
    <cfRule type="cellIs" dxfId="0" priority="466" operator="lessThanOrEqual">
      <formula>I154</formula>
    </cfRule>
  </conditionalFormatting>
  <conditionalFormatting sqref="Y155">
    <cfRule type="cellIs" dxfId="0" priority="468" operator="lessThanOrEqual">
      <formula>I155</formula>
    </cfRule>
  </conditionalFormatting>
  <conditionalFormatting sqref="Y158">
    <cfRule type="cellIs" dxfId="0" priority="470" operator="lessThanOrEqual">
      <formula>I158</formula>
    </cfRule>
  </conditionalFormatting>
  <conditionalFormatting sqref="Y16">
    <cfRule type="cellIs" dxfId="0" priority="302" operator="lessThanOrEqual">
      <formula>I16</formula>
    </cfRule>
  </conditionalFormatting>
  <conditionalFormatting sqref="Y161">
    <cfRule type="cellIs" dxfId="0" priority="472" operator="lessThanOrEqual">
      <formula>I161</formula>
    </cfRule>
  </conditionalFormatting>
  <conditionalFormatting sqref="Y18">
    <cfRule type="cellIs" dxfId="0" priority="304" operator="lessThanOrEqual">
      <formula>I18</formula>
    </cfRule>
  </conditionalFormatting>
  <conditionalFormatting sqref="Y19">
    <cfRule type="cellIs" dxfId="0" priority="306" operator="lessThanOrEqual">
      <formula>I19</formula>
    </cfRule>
  </conditionalFormatting>
  <conditionalFormatting sqref="Y20">
    <cfRule type="cellIs" dxfId="0" priority="308" operator="lessThanOrEqual">
      <formula>I20</formula>
    </cfRule>
  </conditionalFormatting>
  <conditionalFormatting sqref="Y21">
    <cfRule type="cellIs" dxfId="0" priority="310" operator="lessThanOrEqual">
      <formula>I21</formula>
    </cfRule>
  </conditionalFormatting>
  <conditionalFormatting sqref="Y22">
    <cfRule type="cellIs" dxfId="0" priority="312" operator="lessThanOrEqual">
      <formula>I22</formula>
    </cfRule>
  </conditionalFormatting>
  <conditionalFormatting sqref="Y23">
    <cfRule type="cellIs" dxfId="0" priority="314" operator="lessThanOrEqual">
      <formula>I23</formula>
    </cfRule>
  </conditionalFormatting>
  <conditionalFormatting sqref="Y24">
    <cfRule type="cellIs" dxfId="0" priority="316" operator="lessThanOrEqual">
      <formula>I24</formula>
    </cfRule>
  </conditionalFormatting>
  <conditionalFormatting sqref="Y29">
    <cfRule type="cellIs" dxfId="0" priority="318" operator="lessThanOrEqual">
      <formula>I29</formula>
    </cfRule>
  </conditionalFormatting>
  <conditionalFormatting sqref="Y30">
    <cfRule type="cellIs" dxfId="0" priority="320" operator="lessThanOrEqual">
      <formula>I30</formula>
    </cfRule>
  </conditionalFormatting>
  <conditionalFormatting sqref="Y31">
    <cfRule type="cellIs" dxfId="0" priority="322" operator="lessThanOrEqual">
      <formula>I31</formula>
    </cfRule>
  </conditionalFormatting>
  <conditionalFormatting sqref="Y32">
    <cfRule type="cellIs" dxfId="0" priority="324" operator="lessThanOrEqual">
      <formula>I32</formula>
    </cfRule>
  </conditionalFormatting>
  <conditionalFormatting sqref="Y33">
    <cfRule type="cellIs" dxfId="0" priority="326" operator="lessThanOrEqual">
      <formula>I33</formula>
    </cfRule>
  </conditionalFormatting>
  <conditionalFormatting sqref="Y34">
    <cfRule type="cellIs" dxfId="0" priority="328" operator="lessThanOrEqual">
      <formula>I34</formula>
    </cfRule>
  </conditionalFormatting>
  <conditionalFormatting sqref="Y35">
    <cfRule type="cellIs" dxfId="0" priority="330" operator="lessThanOrEqual">
      <formula>I35</formula>
    </cfRule>
  </conditionalFormatting>
  <conditionalFormatting sqref="Y39">
    <cfRule type="cellIs" dxfId="0" priority="332" operator="lessThanOrEqual">
      <formula>I39</formula>
    </cfRule>
  </conditionalFormatting>
  <conditionalFormatting sqref="Y40">
    <cfRule type="cellIs" dxfId="0" priority="334" operator="lessThanOrEqual">
      <formula>I40</formula>
    </cfRule>
  </conditionalFormatting>
  <conditionalFormatting sqref="Y41">
    <cfRule type="cellIs" dxfId="0" priority="336" operator="lessThanOrEqual">
      <formula>I41</formula>
    </cfRule>
  </conditionalFormatting>
  <conditionalFormatting sqref="Y44">
    <cfRule type="cellIs" dxfId="0" priority="338" operator="lessThanOrEqual">
      <formula>I44</formula>
    </cfRule>
  </conditionalFormatting>
  <conditionalFormatting sqref="Y46">
    <cfRule type="cellIs" dxfId="0" priority="340" operator="lessThanOrEqual">
      <formula>I46</formula>
    </cfRule>
  </conditionalFormatting>
  <conditionalFormatting sqref="Y47">
    <cfRule type="cellIs" dxfId="0" priority="342" operator="lessThanOrEqual">
      <formula>I47</formula>
    </cfRule>
  </conditionalFormatting>
  <conditionalFormatting sqref="Y49">
    <cfRule type="cellIs" dxfId="0" priority="344" operator="lessThanOrEqual">
      <formula>I49</formula>
    </cfRule>
  </conditionalFormatting>
  <conditionalFormatting sqref="Y50">
    <cfRule type="cellIs" dxfId="0" priority="346" operator="lessThanOrEqual">
      <formula>I50</formula>
    </cfRule>
  </conditionalFormatting>
  <conditionalFormatting sqref="Y51">
    <cfRule type="cellIs" dxfId="0" priority="348" operator="lessThanOrEqual">
      <formula>I51</formula>
    </cfRule>
  </conditionalFormatting>
  <conditionalFormatting sqref="Y53">
    <cfRule type="cellIs" dxfId="0" priority="350" operator="lessThanOrEqual">
      <formula>I53</formula>
    </cfRule>
  </conditionalFormatting>
  <conditionalFormatting sqref="Y54">
    <cfRule type="cellIs" dxfId="0" priority="352" operator="lessThanOrEqual">
      <formula>I54</formula>
    </cfRule>
  </conditionalFormatting>
  <conditionalFormatting sqref="Y55">
    <cfRule type="cellIs" dxfId="0" priority="354" operator="lessThanOrEqual">
      <formula>I55</formula>
    </cfRule>
  </conditionalFormatting>
  <conditionalFormatting sqref="Y56">
    <cfRule type="cellIs" dxfId="0" priority="356" operator="lessThanOrEqual">
      <formula>I56</formula>
    </cfRule>
  </conditionalFormatting>
  <conditionalFormatting sqref="Y59">
    <cfRule type="cellIs" dxfId="0" priority="358" operator="lessThanOrEqual">
      <formula>I59</formula>
    </cfRule>
  </conditionalFormatting>
  <conditionalFormatting sqref="Y60">
    <cfRule type="cellIs" dxfId="0" priority="360" operator="lessThanOrEqual">
      <formula>I60</formula>
    </cfRule>
  </conditionalFormatting>
  <conditionalFormatting sqref="Y61">
    <cfRule type="cellIs" dxfId="0" priority="362" operator="lessThanOrEqual">
      <formula>I61</formula>
    </cfRule>
  </conditionalFormatting>
  <conditionalFormatting sqref="Y62">
    <cfRule type="cellIs" dxfId="0" priority="364" operator="lessThanOrEqual">
      <formula>I62</formula>
    </cfRule>
  </conditionalFormatting>
  <conditionalFormatting sqref="Y63">
    <cfRule type="cellIs" dxfId="0" priority="366" operator="lessThanOrEqual">
      <formula>I63</formula>
    </cfRule>
  </conditionalFormatting>
  <conditionalFormatting sqref="Y65">
    <cfRule type="cellIs" dxfId="0" priority="368" operator="lessThanOrEqual">
      <formula>I65</formula>
    </cfRule>
  </conditionalFormatting>
  <conditionalFormatting sqref="Y68">
    <cfRule type="cellIs" dxfId="0" priority="370" operator="lessThanOrEqual">
      <formula>I68</formula>
    </cfRule>
  </conditionalFormatting>
  <conditionalFormatting sqref="Y69">
    <cfRule type="cellIs" dxfId="0" priority="372" operator="lessThanOrEqual">
      <formula>I69</formula>
    </cfRule>
  </conditionalFormatting>
  <conditionalFormatting sqref="Y7">
    <cfRule type="cellIs" dxfId="0" priority="294" operator="lessThanOrEqual">
      <formula>I7</formula>
    </cfRule>
  </conditionalFormatting>
  <conditionalFormatting sqref="Y70">
    <cfRule type="cellIs" dxfId="0" priority="374" operator="lessThanOrEqual">
      <formula>I70</formula>
    </cfRule>
  </conditionalFormatting>
  <conditionalFormatting sqref="Y74">
    <cfRule type="cellIs" dxfId="0" priority="376" operator="lessThanOrEqual">
      <formula>I74</formula>
    </cfRule>
  </conditionalFormatting>
  <conditionalFormatting sqref="Y75">
    <cfRule type="cellIs" dxfId="0" priority="378" operator="lessThanOrEqual">
      <formula>I75</formula>
    </cfRule>
  </conditionalFormatting>
  <conditionalFormatting sqref="Y76">
    <cfRule type="cellIs" dxfId="0" priority="380" operator="lessThanOrEqual">
      <formula>I76</formula>
    </cfRule>
  </conditionalFormatting>
  <conditionalFormatting sqref="Y80">
    <cfRule type="cellIs" dxfId="0" priority="382" operator="lessThanOrEqual">
      <formula>I80</formula>
    </cfRule>
  </conditionalFormatting>
  <conditionalFormatting sqref="Y82">
    <cfRule type="cellIs" dxfId="0" priority="384" operator="lessThanOrEqual">
      <formula>I82</formula>
    </cfRule>
  </conditionalFormatting>
  <conditionalFormatting sqref="Y85">
    <cfRule type="cellIs" dxfId="0" priority="386" operator="lessThanOrEqual">
      <formula>I85</formula>
    </cfRule>
  </conditionalFormatting>
  <conditionalFormatting sqref="Y87">
    <cfRule type="cellIs" dxfId="0" priority="388" operator="lessThanOrEqual">
      <formula>I87</formula>
    </cfRule>
  </conditionalFormatting>
  <conditionalFormatting sqref="Y89">
    <cfRule type="cellIs" dxfId="0" priority="390" operator="lessThanOrEqual">
      <formula>I89</formula>
    </cfRule>
  </conditionalFormatting>
  <conditionalFormatting sqref="Y9">
    <cfRule type="cellIs" dxfId="0" priority="296" operator="lessThanOrEqual">
      <formula>I9</formula>
    </cfRule>
  </conditionalFormatting>
  <conditionalFormatting sqref="Y92">
    <cfRule type="cellIs" dxfId="0" priority="392" operator="lessThanOrEqual">
      <formula>I92</formula>
    </cfRule>
  </conditionalFormatting>
  <conditionalFormatting sqref="Y93">
    <cfRule type="cellIs" dxfId="0" priority="394" operator="lessThanOrEqual">
      <formula>I93</formula>
    </cfRule>
  </conditionalFormatting>
  <conditionalFormatting sqref="Y98">
    <cfRule type="cellIs" dxfId="0" priority="396" operator="lessThanOrEqual">
      <formula>I98</formula>
    </cfRule>
  </conditionalFormatting>
  <hyperlinks>
    <hyperlink ref="O7" r:id="rId1"/>
    <hyperlink ref="U7" r:id="rId2"/>
    <hyperlink ref="AA7" r:id="rId3"/>
    <hyperlink ref="O8" r:id="rId4"/>
    <hyperlink ref="O9" r:id="rId5"/>
    <hyperlink ref="AA9" r:id="rId6"/>
    <hyperlink ref="O10" r:id="rId7"/>
    <hyperlink ref="AA10" r:id="rId8"/>
    <hyperlink ref="O11" r:id="rId9"/>
    <hyperlink ref="AA11" r:id="rId10"/>
    <hyperlink ref="O12" r:id="rId11"/>
    <hyperlink ref="U12" r:id="rId12"/>
    <hyperlink ref="AA12" r:id="rId13"/>
    <hyperlink ref="O13" r:id="rId14"/>
    <hyperlink ref="O14" r:id="rId15"/>
    <hyperlink ref="U14" r:id="rId16"/>
    <hyperlink ref="AA14" r:id="rId17"/>
    <hyperlink ref="O15" r:id="rId18"/>
    <hyperlink ref="U15" r:id="rId19"/>
    <hyperlink ref="AA15" r:id="rId20"/>
    <hyperlink ref="O16" r:id="rId21"/>
    <hyperlink ref="AA16" r:id="rId22"/>
    <hyperlink ref="O17" r:id="rId23"/>
    <hyperlink ref="O18" r:id="rId24"/>
    <hyperlink ref="U18" r:id="rId25"/>
    <hyperlink ref="AA18" r:id="rId26"/>
    <hyperlink ref="O19" r:id="rId27"/>
    <hyperlink ref="AA19" r:id="rId28"/>
    <hyperlink ref="O20" r:id="rId29"/>
    <hyperlink ref="U20" r:id="rId30"/>
    <hyperlink ref="AA20" r:id="rId31"/>
    <hyperlink ref="O21" r:id="rId32"/>
    <hyperlink ref="U21" r:id="rId33"/>
    <hyperlink ref="AA21" r:id="rId34"/>
    <hyperlink ref="O22" r:id="rId35"/>
    <hyperlink ref="U22" r:id="rId36"/>
    <hyperlink ref="AA22" r:id="rId37"/>
    <hyperlink ref="O23" r:id="rId38"/>
    <hyperlink ref="U23" r:id="rId39"/>
    <hyperlink ref="AA23" r:id="rId40"/>
    <hyperlink ref="O24" r:id="rId41"/>
    <hyperlink ref="AA24" r:id="rId42"/>
    <hyperlink ref="O25" r:id="rId43"/>
    <hyperlink ref="O27" r:id="rId44"/>
    <hyperlink ref="AA27" r:id="rId45"/>
    <hyperlink ref="O28" r:id="rId46"/>
    <hyperlink ref="AA28" r:id="rId47"/>
    <hyperlink ref="O29" r:id="rId48"/>
    <hyperlink ref="U29" r:id="rId49"/>
    <hyperlink ref="AA29" r:id="rId50"/>
    <hyperlink ref="O30" r:id="rId51"/>
    <hyperlink ref="U30" r:id="rId52"/>
    <hyperlink ref="AA30" r:id="rId53"/>
    <hyperlink ref="O31" r:id="rId54"/>
    <hyperlink ref="U31" r:id="rId55"/>
    <hyperlink ref="AA31" r:id="rId56"/>
    <hyperlink ref="O32" r:id="rId57"/>
    <hyperlink ref="AA32" r:id="rId58"/>
    <hyperlink ref="O33" r:id="rId59"/>
    <hyperlink ref="AA33" r:id="rId60"/>
    <hyperlink ref="O34" r:id="rId61"/>
    <hyperlink ref="U34" r:id="rId62"/>
    <hyperlink ref="AA34" r:id="rId63"/>
    <hyperlink ref="O35" r:id="rId64"/>
    <hyperlink ref="AA35" r:id="rId65"/>
    <hyperlink ref="O37" r:id="rId66"/>
    <hyperlink ref="AA37" r:id="rId67"/>
    <hyperlink ref="O38" r:id="rId68"/>
    <hyperlink ref="O39" r:id="rId69"/>
    <hyperlink ref="AA39" r:id="rId70"/>
    <hyperlink ref="O40" r:id="rId71"/>
    <hyperlink ref="AA40" r:id="rId72"/>
    <hyperlink ref="O41" r:id="rId73"/>
    <hyperlink ref="AA41" r:id="rId74"/>
    <hyperlink ref="O43" r:id="rId75"/>
    <hyperlink ref="O44" r:id="rId76"/>
    <hyperlink ref="AA44" r:id="rId77"/>
    <hyperlink ref="O45" r:id="rId78"/>
    <hyperlink ref="AA45" r:id="rId79"/>
    <hyperlink ref="O46" r:id="rId80"/>
    <hyperlink ref="AA46" r:id="rId81"/>
    <hyperlink ref="O47" r:id="rId82"/>
    <hyperlink ref="AA47" r:id="rId83"/>
    <hyperlink ref="O49" r:id="rId84"/>
    <hyperlink ref="AA49" r:id="rId85"/>
    <hyperlink ref="O50" r:id="rId86"/>
    <hyperlink ref="AA50" r:id="rId87"/>
    <hyperlink ref="O51" r:id="rId88"/>
    <hyperlink ref="AA51" r:id="rId89"/>
    <hyperlink ref="O52" r:id="rId90"/>
    <hyperlink ref="AA52" r:id="rId91"/>
    <hyperlink ref="O53" r:id="rId92"/>
    <hyperlink ref="AA53" r:id="rId93"/>
    <hyperlink ref="O54" r:id="rId94"/>
    <hyperlink ref="AA54" r:id="rId95"/>
    <hyperlink ref="O55" r:id="rId96"/>
    <hyperlink ref="AA55" r:id="rId97"/>
    <hyperlink ref="O56" r:id="rId98"/>
    <hyperlink ref="AA56" r:id="rId99"/>
    <hyperlink ref="O57" r:id="rId100"/>
    <hyperlink ref="AA57" r:id="rId101"/>
    <hyperlink ref="O58" r:id="rId102"/>
    <hyperlink ref="AA58" r:id="rId103"/>
    <hyperlink ref="O59" r:id="rId104"/>
    <hyperlink ref="AA59" r:id="rId105"/>
    <hyperlink ref="O60" r:id="rId106"/>
    <hyperlink ref="AA60" r:id="rId107"/>
    <hyperlink ref="O61" r:id="rId108"/>
    <hyperlink ref="AA61" r:id="rId109"/>
    <hyperlink ref="O62" r:id="rId110"/>
    <hyperlink ref="AA62" r:id="rId111"/>
    <hyperlink ref="O63" r:id="rId112"/>
    <hyperlink ref="AA63" r:id="rId113"/>
    <hyperlink ref="O64" r:id="rId114"/>
    <hyperlink ref="AA64" r:id="rId115"/>
    <hyperlink ref="O65" r:id="rId116"/>
    <hyperlink ref="AA65" r:id="rId117"/>
    <hyperlink ref="O66" r:id="rId118"/>
    <hyperlink ref="AA66" r:id="rId119"/>
    <hyperlink ref="O68" r:id="rId120"/>
    <hyperlink ref="AA68" r:id="rId121"/>
    <hyperlink ref="O69" r:id="rId122"/>
    <hyperlink ref="AA69" r:id="rId123"/>
    <hyperlink ref="O70" r:id="rId124"/>
    <hyperlink ref="AA70" r:id="rId125"/>
    <hyperlink ref="O71" r:id="rId126"/>
    <hyperlink ref="AA71" r:id="rId127"/>
    <hyperlink ref="O73" r:id="rId128"/>
    <hyperlink ref="AA73" r:id="rId129"/>
    <hyperlink ref="O74" r:id="rId130"/>
    <hyperlink ref="AA74" r:id="rId131"/>
    <hyperlink ref="O75" r:id="rId132"/>
    <hyperlink ref="AA75" r:id="rId133"/>
    <hyperlink ref="O76" r:id="rId134"/>
    <hyperlink ref="AA76" r:id="rId135"/>
    <hyperlink ref="O78" r:id="rId136"/>
    <hyperlink ref="O79" r:id="rId137"/>
    <hyperlink ref="O80" r:id="rId138"/>
    <hyperlink ref="AA80" r:id="rId139"/>
    <hyperlink ref="O81" r:id="rId140"/>
    <hyperlink ref="AA81" r:id="rId141"/>
    <hyperlink ref="O82" r:id="rId142"/>
    <hyperlink ref="AA82" r:id="rId143"/>
    <hyperlink ref="O83" r:id="rId144"/>
    <hyperlink ref="AA83" r:id="rId145"/>
    <hyperlink ref="O84" r:id="rId146"/>
    <hyperlink ref="AA84" r:id="rId147"/>
    <hyperlink ref="O85" r:id="rId148"/>
    <hyperlink ref="AA85" r:id="rId149"/>
    <hyperlink ref="O87" r:id="rId150"/>
    <hyperlink ref="AA87" r:id="rId151"/>
    <hyperlink ref="O88" r:id="rId152"/>
    <hyperlink ref="AA88" r:id="rId153"/>
    <hyperlink ref="O89" r:id="rId154"/>
    <hyperlink ref="AA89" r:id="rId155"/>
    <hyperlink ref="O90" r:id="rId156"/>
    <hyperlink ref="O92" r:id="rId157"/>
    <hyperlink ref="AA92" r:id="rId158"/>
    <hyperlink ref="O93" r:id="rId159"/>
    <hyperlink ref="AA93" r:id="rId160"/>
    <hyperlink ref="O94" r:id="rId161"/>
    <hyperlink ref="O95" r:id="rId162"/>
    <hyperlink ref="AA95" r:id="rId163"/>
    <hyperlink ref="O96" r:id="rId164"/>
    <hyperlink ref="AA96" r:id="rId165"/>
    <hyperlink ref="O97" r:id="rId166"/>
    <hyperlink ref="O98" r:id="rId167"/>
    <hyperlink ref="AA98" r:id="rId168"/>
    <hyperlink ref="O99" r:id="rId169"/>
    <hyperlink ref="AA99" r:id="rId170"/>
    <hyperlink ref="O100" r:id="rId171"/>
    <hyperlink ref="AA100" r:id="rId172"/>
    <hyperlink ref="O101" r:id="rId173"/>
    <hyperlink ref="AA101" r:id="rId174"/>
    <hyperlink ref="O102" r:id="rId175"/>
    <hyperlink ref="AA102" r:id="rId176"/>
    <hyperlink ref="O103" r:id="rId177"/>
    <hyperlink ref="AA103" r:id="rId178"/>
    <hyperlink ref="O104" r:id="rId179"/>
    <hyperlink ref="AA104" r:id="rId180"/>
    <hyperlink ref="O105" r:id="rId181"/>
    <hyperlink ref="AA105" r:id="rId182"/>
    <hyperlink ref="O106" r:id="rId183"/>
    <hyperlink ref="AA106" r:id="rId184"/>
    <hyperlink ref="O107" r:id="rId185"/>
    <hyperlink ref="AA107" r:id="rId186"/>
    <hyperlink ref="O108" r:id="rId187"/>
    <hyperlink ref="AA108" r:id="rId188"/>
    <hyperlink ref="O109" r:id="rId189"/>
    <hyperlink ref="AA109" r:id="rId190"/>
    <hyperlink ref="O110" r:id="rId191"/>
    <hyperlink ref="AA110" r:id="rId192"/>
    <hyperlink ref="O111" r:id="rId193"/>
    <hyperlink ref="AA111" r:id="rId194"/>
    <hyperlink ref="O112" r:id="rId195"/>
    <hyperlink ref="AA112" r:id="rId196"/>
    <hyperlink ref="O113" r:id="rId197"/>
    <hyperlink ref="AA113" r:id="rId198"/>
    <hyperlink ref="O114" r:id="rId199"/>
    <hyperlink ref="AA114" r:id="rId200"/>
    <hyperlink ref="O115" r:id="rId201"/>
    <hyperlink ref="AA115" r:id="rId202"/>
    <hyperlink ref="O116" r:id="rId203"/>
    <hyperlink ref="AA116" r:id="rId204"/>
    <hyperlink ref="O117" r:id="rId205"/>
    <hyperlink ref="AA117" r:id="rId206"/>
    <hyperlink ref="O118" r:id="rId207"/>
    <hyperlink ref="AA118" r:id="rId208"/>
    <hyperlink ref="O119" r:id="rId209"/>
    <hyperlink ref="AA119" r:id="rId210"/>
    <hyperlink ref="O120" r:id="rId211"/>
    <hyperlink ref="AA120" r:id="rId212"/>
    <hyperlink ref="O121" r:id="rId213"/>
    <hyperlink ref="AA121" r:id="rId214"/>
    <hyperlink ref="O123" r:id="rId215"/>
    <hyperlink ref="O124" r:id="rId216"/>
    <hyperlink ref="AA124" r:id="rId217"/>
    <hyperlink ref="O126" r:id="rId218"/>
    <hyperlink ref="AA126" r:id="rId219"/>
    <hyperlink ref="O127" r:id="rId220"/>
    <hyperlink ref="AA127" r:id="rId221"/>
    <hyperlink ref="O129" r:id="rId222"/>
    <hyperlink ref="AA129" r:id="rId223"/>
    <hyperlink ref="O130" r:id="rId224"/>
    <hyperlink ref="AA130" r:id="rId225"/>
    <hyperlink ref="O131" r:id="rId226"/>
    <hyperlink ref="AA131" r:id="rId227"/>
    <hyperlink ref="O132" r:id="rId228"/>
    <hyperlink ref="AA132" r:id="rId229"/>
    <hyperlink ref="O134" r:id="rId230"/>
    <hyperlink ref="AA134" r:id="rId231"/>
    <hyperlink ref="O135" r:id="rId232"/>
    <hyperlink ref="AA135" r:id="rId233"/>
    <hyperlink ref="O136" r:id="rId234"/>
    <hyperlink ref="AA136" r:id="rId235"/>
    <hyperlink ref="O137" r:id="rId236"/>
    <hyperlink ref="AA137" r:id="rId237"/>
    <hyperlink ref="O138" r:id="rId238"/>
    <hyperlink ref="AA138" r:id="rId239"/>
    <hyperlink ref="O139" r:id="rId240"/>
    <hyperlink ref="AA139" r:id="rId241"/>
    <hyperlink ref="O140" r:id="rId242"/>
    <hyperlink ref="AA140" r:id="rId243"/>
    <hyperlink ref="O141" r:id="rId244"/>
    <hyperlink ref="AA141" r:id="rId245"/>
    <hyperlink ref="O142" r:id="rId246"/>
    <hyperlink ref="AA142" r:id="rId247"/>
    <hyperlink ref="O143" r:id="rId248"/>
    <hyperlink ref="AA143" r:id="rId249"/>
    <hyperlink ref="O144" r:id="rId250"/>
    <hyperlink ref="AA144" r:id="rId251"/>
    <hyperlink ref="O145" r:id="rId252"/>
    <hyperlink ref="AA145" r:id="rId253"/>
    <hyperlink ref="O147" r:id="rId254"/>
    <hyperlink ref="AA147" r:id="rId255"/>
    <hyperlink ref="O148" r:id="rId256"/>
    <hyperlink ref="AA148" r:id="rId257"/>
    <hyperlink ref="O149" r:id="rId258"/>
    <hyperlink ref="AA149" r:id="rId259"/>
    <hyperlink ref="O150" r:id="rId260"/>
    <hyperlink ref="AA150" r:id="rId261"/>
    <hyperlink ref="O151" r:id="rId262"/>
    <hyperlink ref="AA151" r:id="rId263"/>
    <hyperlink ref="O152" r:id="rId264"/>
    <hyperlink ref="AA152" r:id="rId265"/>
    <hyperlink ref="O153" r:id="rId266"/>
    <hyperlink ref="O154" r:id="rId267"/>
    <hyperlink ref="AA154" r:id="rId268"/>
    <hyperlink ref="O155" r:id="rId269"/>
    <hyperlink ref="AA155" r:id="rId270"/>
    <hyperlink ref="O156" r:id="rId271"/>
    <hyperlink ref="O158" r:id="rId272"/>
    <hyperlink ref="AA158" r:id="rId273"/>
    <hyperlink ref="O159" r:id="rId274"/>
    <hyperlink ref="AA159" r:id="rId275"/>
    <hyperlink ref="O160" r:id="rId276"/>
    <hyperlink ref="AA160" r:id="rId277"/>
    <hyperlink ref="O161" r:id="rId278"/>
    <hyperlink ref="AA161" r:id="rId279"/>
    <hyperlink ref="O162" r:id="rId280"/>
    <hyperlink ref="O163" r:id="rId281"/>
    <hyperlink ref="O164" r:id="rId282"/>
    <hyperlink ref="O165" r:id="rId283"/>
    <hyperlink ref="AA165" r:id="rId284"/>
  </hyperlinks>
  <pageMargins left="0.7" right="0.7" top="0.75" bottom="0.75" header="0.3" footer="0.3"/>
  <legacyDrawing r:id="rId2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KiCost</vt:lpstr>
      <vt:lpstr>BoardQty</vt:lpstr>
      <vt:lpstr>digikey_part_data</vt:lpstr>
      <vt:lpstr>global_part_data</vt:lpstr>
      <vt:lpstr>mouser_part_data</vt:lpstr>
      <vt:lpstr>newark_part_data</vt:lpstr>
      <vt:lpstr>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2016-08-29T20:38:52Z</dcterms:created>
  <dcterms:modified xsi:type="dcterms:W3CDTF">2016-08-29T20:38:52Z</dcterms:modified>
</cp:coreProperties>
</file>