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KiCost!$J$5:$O$165</definedName>
    <definedName function="false" hidden="false" name="global_part_data" vbProcedure="false">KiCost!$A$5:$I$165</definedName>
    <definedName function="false" hidden="false" name="mouser_part_data" vbProcedure="false">KiCost!$P$5:$U$165</definedName>
    <definedName function="false" hidden="false" name="newark_part_data" vbProcedure="false">KiCost!$V$5:$AA$165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<sst xmlns="http://schemas.openxmlformats.org/spreadsheetml/2006/main" count="1175" uniqueCount="650">
  <si>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</si>
  <si>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</si>
  <si>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</si>
  <si>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</si>
  <si>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</si>
  <si>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</si>
  <si>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</si>
  <si>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</si>
  <si>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</si>
  <si>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</si>
  <si>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</si>
  <si>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</si>
  <si>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</si>
  <si>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</si>
  <si>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</si>
  <si>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</si>
  <si>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</si>
  <si>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</si>
  <si>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</si>
  <si>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</si>
  <si>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R73-R79,R114</t>
  </si>
  <si>
    <t>4.7k</t>
  </si>
  <si>
    <t>Resistors_SMD:R_0603</t>
  </si>
  <si>
    <t>RC0603JR-074K7L</t>
  </si>
  <si>
    <t>311-4.7KGRCT-ND</t>
  </si>
  <si>
    <t>Link</t>
  </si>
  <si>
    <t>603-RC0603JR-074K7L</t>
  </si>
  <si>
    <t>68R0188</t>
  </si>
  <si>
    <t>U6</t>
  </si>
  <si>
    <t>ST3232E</t>
  </si>
  <si>
    <t>footprints:TSSOP16</t>
  </si>
  <si>
    <t>ST3232ECTR </t>
  </si>
  <si>
    <t>497-6538-1-ND</t>
  </si>
  <si>
    <t>U24</t>
  </si>
  <si>
    <t>23A1024</t>
  </si>
  <si>
    <t>footprints:-SOIC8</t>
  </si>
  <si>
    <t>23A1024-I/SN </t>
  </si>
  <si>
    <t>23A1024-I/SN-ND</t>
  </si>
  <si>
    <t>579-23A1024-I/SN</t>
  </si>
  <si>
    <t>45W1398</t>
  </si>
  <si>
    <t>U19</t>
  </si>
  <si>
    <t>93C46</t>
  </si>
  <si>
    <t>93C46B-I/SN</t>
  </si>
  <si>
    <t>93C46B-I/SN-ND</t>
  </si>
  <si>
    <t>12C2023</t>
  </si>
  <si>
    <t>U11</t>
  </si>
  <si>
    <t>MCP6024</t>
  </si>
  <si>
    <t>footprints:TSSOP14</t>
  </si>
  <si>
    <t>MCP6024-E/ST</t>
  </si>
  <si>
    <t>MCP6024-E/ST-ND</t>
  </si>
  <si>
    <t>579-MCP6024-E/ST</t>
  </si>
  <si>
    <t>91R1262</t>
  </si>
  <si>
    <t>C17</t>
  </si>
  <si>
    <t>330uF</t>
  </si>
  <si>
    <t>footprints:c_elec_6.3x7.7</t>
  </si>
  <si>
    <t>UCW1C331MNL1GS </t>
  </si>
  <si>
    <t>493-9415-1-ND</t>
  </si>
  <si>
    <t>U2</t>
  </si>
  <si>
    <t>SI502</t>
  </si>
  <si>
    <t>footprints:4SMD</t>
  </si>
  <si>
    <t>502AAA-ADAG</t>
  </si>
  <si>
    <t>R40</t>
  </si>
  <si>
    <t>100 / 1/2W</t>
  </si>
  <si>
    <t>Resistors_SMD:R_2010</t>
  </si>
  <si>
    <t>CR2010-JW-101ELF </t>
  </si>
  <si>
    <t>CR2010-JW-101ELFCT-ND</t>
  </si>
  <si>
    <t>652-CR2010-JW-101ELF</t>
  </si>
  <si>
    <t>C31,C68,C78</t>
  </si>
  <si>
    <t>10uF</t>
  </si>
  <si>
    <t>footprints:c_1206_tantalio</t>
  </si>
  <si>
    <t>T491A106K006AT7280</t>
  </si>
  <si>
    <t>399-3683-1-ND</t>
  </si>
  <si>
    <t>80-T491A106K0067280</t>
  </si>
  <si>
    <t>C18</t>
  </si>
  <si>
    <t>T491A106K006AT</t>
  </si>
  <si>
    <t>57K1634</t>
  </si>
  <si>
    <t>R64,R143,R146,R153,R154,R156,R161,R163</t>
  </si>
  <si>
    <t>2.2k</t>
  </si>
  <si>
    <t>311-2.2KGRCT-ND</t>
  </si>
  <si>
    <t>R99,R100</t>
  </si>
  <si>
    <t>RC0603JR-072K2L </t>
  </si>
  <si>
    <t>603-RC0603JR-072K2L</t>
  </si>
  <si>
    <t>98K7303</t>
  </si>
  <si>
    <t>U4</t>
  </si>
  <si>
    <t>NCP1117ST33T3G</t>
  </si>
  <si>
    <t>footprints:SOT223</t>
  </si>
  <si>
    <t>NCP1117ST33T3GOSCT-ND</t>
  </si>
  <si>
    <t>67H7013</t>
  </si>
  <si>
    <t>FB7,FB14</t>
  </si>
  <si>
    <t>BLM18KG221SN1</t>
  </si>
  <si>
    <t>footprints:SM0603</t>
  </si>
  <si>
    <t>BLM18KG221SN1D</t>
  </si>
  <si>
    <t>490-5255-1-ND</t>
  </si>
  <si>
    <t>81-BLM18KG221SN1D</t>
  </si>
  <si>
    <t>55R1510</t>
  </si>
  <si>
    <t>FB11,FB15</t>
  </si>
  <si>
    <t>BLM18KG221SN1D </t>
  </si>
  <si>
    <t>Q2-Q5</t>
  </si>
  <si>
    <t>FQT13N06L</t>
  </si>
  <si>
    <t> FQT13N06LTF</t>
  </si>
  <si>
    <t>FQT13N06LTFCT-ND</t>
  </si>
  <si>
    <t>512-FQT13N06LTF</t>
  </si>
  <si>
    <t>31Y1561</t>
  </si>
  <si>
    <t>R80</t>
  </si>
  <si>
    <t>33k</t>
  </si>
  <si>
    <t>ERA-3AEB333V</t>
  </si>
  <si>
    <t>P33KDBCT-ND</t>
  </si>
  <si>
    <t>08N2119</t>
  </si>
  <si>
    <t>C7,C38,C40,C44,C92</t>
  </si>
  <si>
    <t>470pF</t>
  </si>
  <si>
    <t>Capacitors_SMD:C_0603</t>
  </si>
  <si>
    <t>C0603C471K5RACTU</t>
  </si>
  <si>
    <t>399-1075-1-ND</t>
  </si>
  <si>
    <t>30C5318</t>
  </si>
  <si>
    <t>C95,C96</t>
  </si>
  <si>
    <t>2700pf</t>
  </si>
  <si>
    <t>CL10B272KB8SFNC</t>
  </si>
  <si>
    <t>1276-2023-1-ND</t>
  </si>
  <si>
    <t>JP7,JP9,JP11,JP13</t>
  </si>
  <si>
    <t>JUMPER</t>
  </si>
  <si>
    <t>footprints:GS2</t>
  </si>
  <si>
    <t>L1</t>
  </si>
  <si>
    <t>BK1608HS220-T</t>
  </si>
  <si>
    <t>MH1608-221Y</t>
  </si>
  <si>
    <t>MH1608-221YCT-ND</t>
  </si>
  <si>
    <t>C5,C9</t>
  </si>
  <si>
    <t>1uF</t>
  </si>
  <si>
    <t>footprints:c_0603</t>
  </si>
  <si>
    <t>C0603C105K9PACTU</t>
  </si>
  <si>
    <t>399-7848-1-ND</t>
  </si>
  <si>
    <t>R10-R12</t>
  </si>
  <si>
    <t>22</t>
  </si>
  <si>
    <t>RC0603JR-0722RL</t>
  </si>
  <si>
    <t>311-22GRCT-ND</t>
  </si>
  <si>
    <t>68R0168</t>
  </si>
  <si>
    <t>TH10</t>
  </si>
  <si>
    <t>MF-USMF005-2</t>
  </si>
  <si>
    <t>footprints:MF-USMF</t>
  </si>
  <si>
    <t>MF-USMF005-2CT-ND</t>
  </si>
  <si>
    <t>652-MF-USMF005-2</t>
  </si>
  <si>
    <t>75K7706</t>
  </si>
  <si>
    <t>J3</t>
  </si>
  <si>
    <t>DB9</t>
  </si>
  <si>
    <t>footprints:K22X-E9P-NJ</t>
  </si>
  <si>
    <t>182-009-113R561 </t>
  </si>
  <si>
    <t>NOR1354-ND</t>
  </si>
  <si>
    <t>636-182-009-113R561</t>
  </si>
  <si>
    <t>47X3644</t>
  </si>
  <si>
    <t>R51,R54,R57,R60</t>
  </si>
  <si>
    <t>100</t>
  </si>
  <si>
    <t>RC0603JR-07100RL</t>
  </si>
  <si>
    <t>311-100GRCT-ND</t>
  </si>
  <si>
    <t>603-RC0603JR-07100RL</t>
  </si>
  <si>
    <t>26M6737</t>
  </si>
  <si>
    <t>R32,R39</t>
  </si>
  <si>
    <t>390</t>
  </si>
  <si>
    <t>RC0603JR-07390R</t>
  </si>
  <si>
    <t>311-390GRCT-ND</t>
  </si>
  <si>
    <t>68R0187</t>
  </si>
  <si>
    <t>R84,R96,R145</t>
  </si>
  <si>
    <t>270</t>
  </si>
  <si>
    <t>RC0603JR-07270RL </t>
  </si>
  <si>
    <t>311-270GRCT-ND</t>
  </si>
  <si>
    <t>603-RC0603JR-07270RL</t>
  </si>
  <si>
    <t>68R0174</t>
  </si>
  <si>
    <t>R17,R18</t>
  </si>
  <si>
    <t>RC0603JR-07270RL</t>
  </si>
  <si>
    <t>F4-F6</t>
  </si>
  <si>
    <t>FIDUCIAL</t>
  </si>
  <si>
    <t>Fiducials:Fiducial_1mm_Dia_2.54mm_Outer_CopperBottom</t>
  </si>
  <si>
    <t>R33,R38</t>
  </si>
  <si>
    <t>100K</t>
  </si>
  <si>
    <t>RC0603JR-07100KL</t>
  </si>
  <si>
    <t>311-100KGRCT-ND</t>
  </si>
  <si>
    <t>603-RC0603JR-07100KL</t>
  </si>
  <si>
    <t>X1</t>
  </si>
  <si>
    <t>12MHz</t>
  </si>
  <si>
    <t>FA-238V 12.0000MB-W3 </t>
  </si>
  <si>
    <t>SER3683CT-ND</t>
  </si>
  <si>
    <t>R23</t>
  </si>
  <si>
    <t>0</t>
  </si>
  <si>
    <t>RC0603JR-070RL</t>
  </si>
  <si>
    <t>311-0.0GRCT-ND</t>
  </si>
  <si>
    <t>68R0136</t>
  </si>
  <si>
    <t>C80</t>
  </si>
  <si>
    <t>3.3uF</t>
  </si>
  <si>
    <t>C0603C335M9PACTU</t>
  </si>
  <si>
    <t>399-5502-1-ND</t>
  </si>
  <si>
    <t>14N2174</t>
  </si>
  <si>
    <t>C16</t>
  </si>
  <si>
    <t>470uF</t>
  </si>
  <si>
    <t>footprints:c_elec_13.7x13x13.5</t>
  </si>
  <si>
    <t>UCL1V471MNL1GS</t>
  </si>
  <si>
    <t>493-3961-1-ND</t>
  </si>
  <si>
    <t>84R9019</t>
  </si>
  <si>
    <t>P14</t>
  </si>
  <si>
    <t>SPI</t>
  </si>
  <si>
    <t>footprints:PIN_ARRAY_3X2</t>
  </si>
  <si>
    <t>D4</t>
  </si>
  <si>
    <t>LED red</t>
  </si>
  <si>
    <t>footprints:LED-0603</t>
  </si>
  <si>
    <t>QTLP600C7TR</t>
  </si>
  <si>
    <t>1080-1400-1-ND</t>
  </si>
  <si>
    <t>C97</t>
  </si>
  <si>
    <t>5600pf</t>
  </si>
  <si>
    <t>CL10B562KB8SFNC </t>
  </si>
  <si>
    <t>1276-2092-1-ND</t>
  </si>
  <si>
    <t>06R5033</t>
  </si>
  <si>
    <t>R50,R52,R56,R58,R59,R63,R82,R121,R122,R125-R127,R130</t>
  </si>
  <si>
    <t>15k</t>
  </si>
  <si>
    <t>RG1608P-153-B-T5</t>
  </si>
  <si>
    <t>RG16P15.0KBCT-ND</t>
  </si>
  <si>
    <t>C82</t>
  </si>
  <si>
    <t>10nf</t>
  </si>
  <si>
    <t>C0603C103K5RACTU </t>
  </si>
  <si>
    <t>399-1091-1-ND</t>
  </si>
  <si>
    <t>30C5334</t>
  </si>
  <si>
    <t>R83</t>
  </si>
  <si>
    <t>24.9</t>
  </si>
  <si>
    <t>ERA-3AEB2491V </t>
  </si>
  <si>
    <t>P2.49KDBCT-ND</t>
  </si>
  <si>
    <t>53W8341</t>
  </si>
  <si>
    <t>P6</t>
  </si>
  <si>
    <t>CONN_4X2</t>
  </si>
  <si>
    <t>footprints:pin_array_4x2</t>
  </si>
  <si>
    <t>R98</t>
  </si>
  <si>
    <t>1k</t>
  </si>
  <si>
    <t>RC0603JR-071KL </t>
  </si>
  <si>
    <t>311-1.0KGRCT-ND</t>
  </si>
  <si>
    <t>68R0137</t>
  </si>
  <si>
    <t>R22,R110</t>
  </si>
  <si>
    <t>RC0603JR-071KL</t>
  </si>
  <si>
    <t>D3</t>
  </si>
  <si>
    <t>B540C-13-F</t>
  </si>
  <si>
    <t>footprints:DO-214AB(SMC)</t>
  </si>
  <si>
    <t>B540C-13-F </t>
  </si>
  <si>
    <t>B540C-FDICT-ND</t>
  </si>
  <si>
    <t>12T1472</t>
  </si>
  <si>
    <t>C84</t>
  </si>
  <si>
    <t>3300pf</t>
  </si>
  <si>
    <t>GRM033R71E331KA01D</t>
  </si>
  <si>
    <t>490-3178-1-ND</t>
  </si>
  <si>
    <t>R107</t>
  </si>
  <si>
    <t>Resistors_SMD:R_1206</t>
  </si>
  <si>
    <t>ERJ-8GEYJ222V </t>
  </si>
  <si>
    <t>P2.2KECT-ND</t>
  </si>
  <si>
    <t>65T8919</t>
  </si>
  <si>
    <t>R109</t>
  </si>
  <si>
    <t>10K</t>
  </si>
  <si>
    <t>RC0603JR-0710KL</t>
  </si>
  <si>
    <t>311-10KGRCT-ND</t>
  </si>
  <si>
    <t>68R0144</t>
  </si>
  <si>
    <t>R90,R101-R103</t>
  </si>
  <si>
    <t>RC0603JR-0710KL </t>
  </si>
  <si>
    <t>U5</t>
  </si>
  <si>
    <t>MAX3072</t>
  </si>
  <si>
    <t>SMD_Packages:SOIC-8-N</t>
  </si>
  <si>
    <t>MAX3072EESA+T</t>
  </si>
  <si>
    <t>MAX3072EESA+TCT-ND</t>
  </si>
  <si>
    <t>73Y3152</t>
  </si>
  <si>
    <t>SW1</t>
  </si>
  <si>
    <t>SW_PUSH_4</t>
  </si>
  <si>
    <t>footprints:PUSH_SWITCH</t>
  </si>
  <si>
    <t>FSM2JSMAATR</t>
  </si>
  <si>
    <t>450-1792-1-ND</t>
  </si>
  <si>
    <t>C8,C60</t>
  </si>
  <si>
    <t>R150</t>
  </si>
  <si>
    <t>8.45k</t>
  </si>
  <si>
    <t>ERJ-3EKF8451V </t>
  </si>
  <si>
    <t>P8.45KHCT-ND</t>
  </si>
  <si>
    <t>65T8533</t>
  </si>
  <si>
    <t>D25</t>
  </si>
  <si>
    <t>LED green</t>
  </si>
  <si>
    <t>LEDs:LED_0603</t>
  </si>
  <si>
    <t>LTST-C191KGKT</t>
  </si>
  <si>
    <t>160-1446-1-ND</t>
  </si>
  <si>
    <t>12X8125</t>
  </si>
  <si>
    <t>D6-D8</t>
  </si>
  <si>
    <t>PSD12C</t>
  </si>
  <si>
    <t>footprints:DO214AA-1-2</t>
  </si>
  <si>
    <t>P6SMB12CAT3G</t>
  </si>
  <si>
    <t>P6SMB12CAT3GOSCT-ND</t>
  </si>
  <si>
    <t>09R9693</t>
  </si>
  <si>
    <t>R105</t>
  </si>
  <si>
    <t>2.49k</t>
  </si>
  <si>
    <t>U14</t>
  </si>
  <si>
    <t>TXB0108</t>
  </si>
  <si>
    <t>footprints:tssop-20</t>
  </si>
  <si>
    <t>TXB0108PWR </t>
  </si>
  <si>
    <t>296-21527-1-ND</t>
  </si>
  <si>
    <t>27M1151</t>
  </si>
  <si>
    <t>C22-C27,C29,C30</t>
  </si>
  <si>
    <t>100nF</t>
  </si>
  <si>
    <t>C0603C104K5RACTU</t>
  </si>
  <si>
    <t>399-5089-1-ND</t>
  </si>
  <si>
    <t>R104</t>
  </si>
  <si>
    <t>2.2K</t>
  </si>
  <si>
    <t>R97</t>
  </si>
  <si>
    <t>12K</t>
  </si>
  <si>
    <t>RC0603FR-0712K1L</t>
  </si>
  <si>
    <t>311-12.1KHRCT-ND</t>
  </si>
  <si>
    <t>J5</t>
  </si>
  <si>
    <t>RJ45-TRANSFO</t>
  </si>
  <si>
    <t>footprints:RJ45_TRANSFO</t>
  </si>
  <si>
    <t>ZA14</t>
  </si>
  <si>
    <t>SMAZ5V6</t>
  </si>
  <si>
    <t>footprints:SOD123F</t>
  </si>
  <si>
    <t>MMSZ5V6T1G </t>
  </si>
  <si>
    <t>MMSZ5V6T1GOSCT-ND</t>
  </si>
  <si>
    <t>45J1588</t>
  </si>
  <si>
    <t>R35</t>
  </si>
  <si>
    <t>220</t>
  </si>
  <si>
    <t>RC0603JR-07220RL </t>
  </si>
  <si>
    <t>311-220GRCT-ND</t>
  </si>
  <si>
    <t>68R0170</t>
  </si>
  <si>
    <t>C36,C42,C91,C93</t>
  </si>
  <si>
    <t>1nF</t>
  </si>
  <si>
    <t>C0603C102K5RACTU</t>
  </si>
  <si>
    <t>399-1082-1-ND</t>
  </si>
  <si>
    <t>51B220</t>
  </si>
  <si>
    <t>R93,R94</t>
  </si>
  <si>
    <t>15K</t>
  </si>
  <si>
    <t>RG1608P-153-B-T5 </t>
  </si>
  <si>
    <t>P4</t>
  </si>
  <si>
    <t>CONN_6</t>
  </si>
  <si>
    <t>footprints:PIN_ARRAY_6X1</t>
  </si>
  <si>
    <t>R149</t>
  </si>
  <si>
    <t>19.1k</t>
  </si>
  <si>
    <t>RC0603FR-0719K1L</t>
  </si>
  <si>
    <t>311-19.1KHRCT-ND</t>
  </si>
  <si>
    <t>D2</t>
  </si>
  <si>
    <t>RS3J-E3/57T</t>
  </si>
  <si>
    <t>Diodes_SMD:DO-214AB</t>
  </si>
  <si>
    <t> MURS360T3G </t>
  </si>
  <si>
    <t>88H4945</t>
  </si>
  <si>
    <t>D1,D5</t>
  </si>
  <si>
    <t>PMEG3020EH</t>
  </si>
  <si>
    <t>footprints:SOD323</t>
  </si>
  <si>
    <t>PMEG3020EH,115 </t>
  </si>
  <si>
    <t>568-4129-1-ND</t>
  </si>
  <si>
    <t>75R0878</t>
  </si>
  <si>
    <t>U3</t>
  </si>
  <si>
    <t>LM2596-5.0</t>
  </si>
  <si>
    <t>footprints:TO263-6--D2PACK5-LM2596</t>
  </si>
  <si>
    <t>LM2596SX-5.0/NOPB</t>
  </si>
  <si>
    <t>LM2596SX-5.0/NOPBCT-ND</t>
  </si>
  <si>
    <t>41K3848</t>
  </si>
  <si>
    <t>U21</t>
  </si>
  <si>
    <t>MCP6022</t>
  </si>
  <si>
    <t>U25</t>
  </si>
  <si>
    <t>TC25L5I32K7680</t>
  </si>
  <si>
    <t>CTX1183CT-ND</t>
  </si>
  <si>
    <t>R1</t>
  </si>
  <si>
    <t>1k5</t>
  </si>
  <si>
    <t>311-1.5KGRCT-ND</t>
  </si>
  <si>
    <t>U8</t>
  </si>
  <si>
    <t>PESD1CAN</t>
  </si>
  <si>
    <t>footprints:SOT23</t>
  </si>
  <si>
    <t>PESD1CAN,215 </t>
  </si>
  <si>
    <t>568-4032-1-ND</t>
  </si>
  <si>
    <t>75R4742</t>
  </si>
  <si>
    <t>U13</t>
  </si>
  <si>
    <t>24AA025E48</t>
  </si>
  <si>
    <t>24AA025E48T-I/SN</t>
  </si>
  <si>
    <t>24AA025E48T-I/SNCT-ND</t>
  </si>
  <si>
    <t>R53,R61,R123,R128</t>
  </si>
  <si>
    <t>4.7</t>
  </si>
  <si>
    <t>U20</t>
  </si>
  <si>
    <t>SST26VF064BA</t>
  </si>
  <si>
    <t>footprints:SO8-sst</t>
  </si>
  <si>
    <t>SST26VF064BAT-104I/SM</t>
  </si>
  <si>
    <t>TH6</t>
  </si>
  <si>
    <t>PTS12066V100</t>
  </si>
  <si>
    <t>283-3142-1-ND</t>
  </si>
  <si>
    <t>TH5,TH7</t>
  </si>
  <si>
    <t>MF-USMF110-2</t>
  </si>
  <si>
    <t>MF-USMF110-2CT-ND</t>
  </si>
  <si>
    <t>61J7437</t>
  </si>
  <si>
    <t>JP1-JP6</t>
  </si>
  <si>
    <t>JUMPER-2</t>
  </si>
  <si>
    <t>TH3</t>
  </si>
  <si>
    <t>C100,C102-C104</t>
  </si>
  <si>
    <t>U1</t>
  </si>
  <si>
    <t>LAN_8740</t>
  </si>
  <si>
    <t>footprints:QFN32_Opendous</t>
  </si>
  <si>
    <t>LAN8740A-EN</t>
  </si>
  <si>
    <t>LAN8740A-EN-ND</t>
  </si>
  <si>
    <t>99W8860</t>
  </si>
  <si>
    <t>IC1,IC2</t>
  </si>
  <si>
    <t>PS2805-4</t>
  </si>
  <si>
    <t>footprints:-SOP16</t>
  </si>
  <si>
    <t>PS2805C-4-A</t>
  </si>
  <si>
    <t>PS2805C-4-A-ND</t>
  </si>
  <si>
    <t>H1-H4</t>
  </si>
  <si>
    <t>4mm</t>
  </si>
  <si>
    <t>footprints:1pin</t>
  </si>
  <si>
    <t>R2</t>
  </si>
  <si>
    <t>4k7 1%</t>
  </si>
  <si>
    <t>RC0603FR-074K7L</t>
  </si>
  <si>
    <t>311-4.70KHRCT-ND</t>
  </si>
  <si>
    <t>68R0092</t>
  </si>
  <si>
    <t>R31,R81,R91,R95,R139</t>
  </si>
  <si>
    <t>RC0603FR-074K7L </t>
  </si>
  <si>
    <t>J7</t>
  </si>
  <si>
    <t>ZX62-AB-5PA</t>
  </si>
  <si>
    <t>footprints:USB_microAB_ZX62-AB&amp;B-5PA-11</t>
  </si>
  <si>
    <t>ZX62-B-5PA(11</t>
  </si>
  <si>
    <t>J6</t>
  </si>
  <si>
    <t>ZX62-AB-5PA(11)</t>
  </si>
  <si>
    <t>K1-K4</t>
  </si>
  <si>
    <t>RELAY_G5V-2</t>
  </si>
  <si>
    <t>footprints:G5V-2</t>
  </si>
  <si>
    <t>G5V-2-DC5</t>
  </si>
  <si>
    <t>Z767-ND</t>
  </si>
  <si>
    <t>67K9351</t>
  </si>
  <si>
    <t>R55,R62,R124,R129</t>
  </si>
  <si>
    <t>237</t>
  </si>
  <si>
    <t>ERA-3AEB2370V </t>
  </si>
  <si>
    <t>P237DBCT-ND</t>
  </si>
  <si>
    <t>D47,D49</t>
  </si>
  <si>
    <t>LED</t>
  </si>
  <si>
    <t>QTLP600C7TR </t>
  </si>
  <si>
    <t>U7</t>
  </si>
  <si>
    <t>VP231</t>
  </si>
  <si>
    <t>SN65HVD230DR </t>
  </si>
  <si>
    <t>296-11654-1-ND</t>
  </si>
  <si>
    <t>75C7745</t>
  </si>
  <si>
    <t>U23,U27-U29</t>
  </si>
  <si>
    <t>MCP1416</t>
  </si>
  <si>
    <t>footprints:SOT23-5</t>
  </si>
  <si>
    <t>MCP1416T-E/OT </t>
  </si>
  <si>
    <t>MCP1416T-E/OTCT-ND</t>
  </si>
  <si>
    <t>U26</t>
  </si>
  <si>
    <t>MCP9700</t>
  </si>
  <si>
    <t>MCP9700AT-E/TT</t>
  </si>
  <si>
    <t>84R5199</t>
  </si>
  <si>
    <t>ZA1</t>
  </si>
  <si>
    <t>P6SMB33CA</t>
  </si>
  <si>
    <t>P6SMB33CA-E3/52</t>
  </si>
  <si>
    <t>P6SMB33CA-E3/52GICT-ND</t>
  </si>
  <si>
    <t>C21,C28</t>
  </si>
  <si>
    <t>10uF/6V3</t>
  </si>
  <si>
    <t>U12</t>
  </si>
  <si>
    <t>24AA1025</t>
  </si>
  <si>
    <t>24AA1025T-I/SN</t>
  </si>
  <si>
    <t>24AA1025T-I/SNCT-ND</t>
  </si>
  <si>
    <t>86W6591</t>
  </si>
  <si>
    <t>Q14</t>
  </si>
  <si>
    <t>BC817-40</t>
  </si>
  <si>
    <t>BC817-40LT3G</t>
  </si>
  <si>
    <t>BC817-40LT1GOSCT-ND</t>
  </si>
  <si>
    <t>R85</t>
  </si>
  <si>
    <t>10k</t>
  </si>
  <si>
    <t>R48,R49</t>
  </si>
  <si>
    <t>R15,R16,R92</t>
  </si>
  <si>
    <t> RC0603JR-0710KL</t>
  </si>
  <si>
    <t>D9-D12,D46</t>
  </si>
  <si>
    <t>BAV199</t>
  </si>
  <si>
    <t>footprints:SOT23-DIODE</t>
  </si>
  <si>
    <t>BAV199LT1G </t>
  </si>
  <si>
    <t>BAV199LT1GOSCT-ND</t>
  </si>
  <si>
    <t>98H0500</t>
  </si>
  <si>
    <t>R117-R120</t>
  </si>
  <si>
    <t>R65-R72</t>
  </si>
  <si>
    <t>3.3k</t>
  </si>
  <si>
    <t> ERJ-8GEYJ332V</t>
  </si>
  <si>
    <t>P3.3KECT-ND</t>
  </si>
  <si>
    <t>65T8932</t>
  </si>
  <si>
    <t>TH4</t>
  </si>
  <si>
    <t>C34</t>
  </si>
  <si>
    <t>C1</t>
  </si>
  <si>
    <t>R34,R36,R37,R41,R47</t>
  </si>
  <si>
    <t>4K7</t>
  </si>
  <si>
    <t>U9</t>
  </si>
  <si>
    <t>PRTR5V0U2X</t>
  </si>
  <si>
    <t>footprints:sot143B</t>
  </si>
  <si>
    <t> PRTR5V0U2X,215</t>
  </si>
  <si>
    <t>568-4140-1-ND</t>
  </si>
  <si>
    <t>75R4845</t>
  </si>
  <si>
    <t>TR1,TR2</t>
  </si>
  <si>
    <t>DLW21HN900SQ2</t>
  </si>
  <si>
    <t>footprints:SRF2012</t>
  </si>
  <si>
    <t>SRF2012-900Y</t>
  </si>
  <si>
    <t>54W0027</t>
  </si>
  <si>
    <t>R44</t>
  </si>
  <si>
    <t>270R</t>
  </si>
  <si>
    <t>D48</t>
  </si>
  <si>
    <t>footprints:-SOT89</t>
  </si>
  <si>
    <t>U18</t>
  </si>
  <si>
    <t>LM358</t>
  </si>
  <si>
    <t>LM358DG </t>
  </si>
  <si>
    <t>LM358DGOS-ND</t>
  </si>
  <si>
    <t>45J0748</t>
  </si>
  <si>
    <t>R3-R6</t>
  </si>
  <si>
    <t>50</t>
  </si>
  <si>
    <t>RC0603FR-0749R9L</t>
  </si>
  <si>
    <t>311-49.9HRCT-ND</t>
  </si>
  <si>
    <t>68R0100</t>
  </si>
  <si>
    <t>J11,J14,J17-J19</t>
  </si>
  <si>
    <t>TB_1X2</t>
  </si>
  <si>
    <t>footprints:bornier2</t>
  </si>
  <si>
    <t>OSTTC022162</t>
  </si>
  <si>
    <t>ED2609-ND</t>
  </si>
  <si>
    <t>18M9779</t>
  </si>
  <si>
    <t>P1</t>
  </si>
  <si>
    <t>CONN_6X2</t>
  </si>
  <si>
    <t>footprints:PIN_ARRAY_6X2</t>
  </si>
  <si>
    <t>C79,C81</t>
  </si>
  <si>
    <t>12p</t>
  </si>
  <si>
    <t> 06031A120CAT2A</t>
  </si>
  <si>
    <t>Q1</t>
  </si>
  <si>
    <t>PBSS5240XF</t>
  </si>
  <si>
    <t>568-10522-1-ND</t>
  </si>
  <si>
    <t>C10</t>
  </si>
  <si>
    <t>22nF</t>
  </si>
  <si>
    <t>U10</t>
  </si>
  <si>
    <t>MIC2025-2YM</t>
  </si>
  <si>
    <t>MIC2025-2YM </t>
  </si>
  <si>
    <t>576-1058-ND</t>
  </si>
  <si>
    <t>67J0256</t>
  </si>
  <si>
    <t>R19</t>
  </si>
  <si>
    <t>12.1k 1%</t>
  </si>
  <si>
    <t>RC0603FR-0712K1L </t>
  </si>
  <si>
    <t>JP8,JP10,JP12,JP14,JP16</t>
  </si>
  <si>
    <t>JUMPER3</t>
  </si>
  <si>
    <t>footprints:GS3</t>
  </si>
  <si>
    <t>U17</t>
  </si>
  <si>
    <t>FT2232H</t>
  </si>
  <si>
    <t>footprints:LQFP64-M05</t>
  </si>
  <si>
    <t>FT2232HL-REEL</t>
  </si>
  <si>
    <t>768-1024-1-ND</t>
  </si>
  <si>
    <t>80P4235</t>
  </si>
  <si>
    <t>Q6,Q7,Q11,Q12</t>
  </si>
  <si>
    <t>NDS7002A</t>
  </si>
  <si>
    <t>NDS7002A </t>
  </si>
  <si>
    <t>NDS7002ACT-ND</t>
  </si>
  <si>
    <t>58K9482</t>
  </si>
  <si>
    <t>C11-C14</t>
  </si>
  <si>
    <t>12pF</t>
  </si>
  <si>
    <t>CBR02C120F3GAC </t>
  </si>
  <si>
    <t>399-8604-1-ND</t>
  </si>
  <si>
    <t>TH1</t>
  </si>
  <si>
    <t>PTS18126V300</t>
  </si>
  <si>
    <t>footprints:2-SMD-MF-SM030</t>
  </si>
  <si>
    <t>MF-SM300-2</t>
  </si>
  <si>
    <t>MF-SM300-2CT-ND</t>
  </si>
  <si>
    <t>75K7700</t>
  </si>
  <si>
    <t>GS6-GS10</t>
  </si>
  <si>
    <t>GS3</t>
  </si>
  <si>
    <t>R43,R46</t>
  </si>
  <si>
    <t>60</t>
  </si>
  <si>
    <t>RC0603FR-0759RL </t>
  </si>
  <si>
    <t>311-59.0HRCT-ND</t>
  </si>
  <si>
    <t>42K3971</t>
  </si>
  <si>
    <t>R20,R113</t>
  </si>
  <si>
    <t>33</t>
  </si>
  <si>
    <t>RC0603JR-0733RL</t>
  </si>
  <si>
    <t>311-33GRCT-ND</t>
  </si>
  <si>
    <t>68R0182</t>
  </si>
  <si>
    <t>R140</t>
  </si>
  <si>
    <t>RC0603JR-0733RL </t>
  </si>
  <si>
    <t>FB6,FB20</t>
  </si>
  <si>
    <t>MMZ1608B601C</t>
  </si>
  <si>
    <t>footprints:SM0603_Resistor</t>
  </si>
  <si>
    <t>MMZ1608B601CTAH0</t>
  </si>
  <si>
    <t>445-2166-1-ND</t>
  </si>
  <si>
    <t>89R3077</t>
  </si>
  <si>
    <t>FB1,FB21</t>
  </si>
  <si>
    <t>FB2-FB5,FB8,FB9</t>
  </si>
  <si>
    <t>MMZ1608B601CTAH0 </t>
  </si>
  <si>
    <t>R21,R138,R144,R147,R155,R157,R160,R162,R164</t>
  </si>
  <si>
    <t>100k</t>
  </si>
  <si>
    <t>R106,R108,R111,R112,R115,R116,R158,R165</t>
  </si>
  <si>
    <t>RC0603JR-07100KL </t>
  </si>
  <si>
    <t>U16</t>
  </si>
  <si>
    <t>PIC32MZ2048EC</t>
  </si>
  <si>
    <t>footprints:LQFP144-M05</t>
  </si>
  <si>
    <t>PIC32MZ2048ECH144-I/PL</t>
  </si>
  <si>
    <t>PIC32MZ2048ECH144-I/PL-ND</t>
  </si>
  <si>
    <t>TH9</t>
  </si>
  <si>
    <t>MF-MSMF110-2</t>
  </si>
  <si>
    <t>MF-MSMF110-2 </t>
  </si>
  <si>
    <t>MF-MSMF110-2CT-ND</t>
  </si>
  <si>
    <t>02J2721</t>
  </si>
  <si>
    <t>R142</t>
  </si>
  <si>
    <t>1K</t>
  </si>
  <si>
    <t>PS1,PS2</t>
  </si>
  <si>
    <t>USMF020</t>
  </si>
  <si>
    <t>footprints:MF-MSMF</t>
  </si>
  <si>
    <t>MF-USMF020-2 </t>
  </si>
  <si>
    <t>MF-USMF020-2CT-ND</t>
  </si>
  <si>
    <t>88K5712</t>
  </si>
  <si>
    <t>GS3,GS4</t>
  </si>
  <si>
    <t>GS2</t>
  </si>
  <si>
    <t>C4,C15,C32,C33,C35,C37,C39,C41,C43,C46,C47,C49,C51,C53,C55,C57,C59,C61-C63,C66,C67,C69-C77,C86,C87,C90,C99</t>
  </si>
  <si>
    <t>C2,C3,C6,C19,C20,C45,C83,C89,C94,C101</t>
  </si>
  <si>
    <t>C0603C104K5RACTU </t>
  </si>
  <si>
    <t>R131-R137,R159</t>
  </si>
  <si>
    <t>330</t>
  </si>
  <si>
    <t>RC0603JR-07330RL</t>
  </si>
  <si>
    <t>311-330GRCT-ND</t>
  </si>
  <si>
    <t>68R0184</t>
  </si>
  <si>
    <t>R7-R9,R14,R24,R86-R89</t>
  </si>
  <si>
    <t>R13</t>
  </si>
  <si>
    <t> RC0603JR-070RL</t>
  </si>
  <si>
    <t>R148</t>
  </si>
  <si>
    <t>9.3k</t>
  </si>
  <si>
    <t>RC0603FR-079K31L</t>
  </si>
  <si>
    <t>311-9.31KHRCT-ND</t>
  </si>
  <si>
    <t>D27,D28,D30,D31</t>
  </si>
  <si>
    <t>LL4148</t>
  </si>
  <si>
    <t>LL4148FSCT-ND</t>
  </si>
  <si>
    <t>05W3302</t>
  </si>
  <si>
    <t>TH8</t>
  </si>
  <si>
    <t>MF-MSMF030-2</t>
  </si>
  <si>
    <t>MF-MSMF030-2 </t>
  </si>
  <si>
    <t>MF-MSMF030-2CT-ND</t>
  </si>
  <si>
    <t>02J2717</t>
  </si>
  <si>
    <t>FB12,FB13,FB17-FB19</t>
  </si>
  <si>
    <t>BLM18BD470SN1</t>
  </si>
  <si>
    <t>BLM18BD470SN1D</t>
  </si>
  <si>
    <t>490-5211-1-ND</t>
  </si>
  <si>
    <t>F1-F3</t>
  </si>
  <si>
    <t>Fiducials:Fiducial_1mm_Dia_2.54mm_Outer_CopperTop</t>
  </si>
  <si>
    <t>C48,C50,C52,C54,C56,C58,C85,C88,C98</t>
  </si>
  <si>
    <t>10nF</t>
  </si>
  <si>
    <t>L2</t>
  </si>
  <si>
    <t>47uH</t>
  </si>
  <si>
    <t>footprints:Inductor_10x9.8mm</t>
  </si>
  <si>
    <t>SRN1060-470M </t>
  </si>
  <si>
    <t>U22</t>
  </si>
  <si>
    <t>ASDMB-24.000MHZ-LC-T</t>
  </si>
  <si>
    <t>535-11728-1-ND</t>
  </si>
  <si>
    <t>J1,J2,J4,J8-J10,J12,J13,J15,J16</t>
  </si>
  <si>
    <t>TB_1X3</t>
  </si>
  <si>
    <t>footprints:bornier3</t>
  </si>
  <si>
    <t>OSTTC032162</t>
  </si>
  <si>
    <t>ED2610-ND</t>
  </si>
  <si>
    <t>19P1415</t>
  </si>
  <si>
    <t>R141</t>
  </si>
  <si>
    <t>12.4k</t>
  </si>
  <si>
    <t>RC0603FR-0712K4L</t>
  </si>
  <si>
    <t>311-12.4KHRCT-ND</t>
  </si>
  <si>
    <t>D23,D24,D34,D35</t>
  </si>
  <si>
    <t>D13-D22,D33,D36</t>
  </si>
  <si>
    <t>ZA2-ZA5</t>
  </si>
  <si>
    <t>SMBJ20CA</t>
  </si>
  <si>
    <t>footprints:DO-214AA(SMB)</t>
  </si>
  <si>
    <t>P6SMB20CAT3G</t>
  </si>
  <si>
    <t>P6SMB20CAT3GOSCT-ND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</si>
</sst>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product-detail/en/yageo/RC0603JR-074K7L/311-4.7KGRCT-ND/729732" TargetMode="External"/><Relationship Id="rId3" Type="http://schemas.openxmlformats.org/officeDocument/2006/relationships/hyperlink" Target="http://www.mouser.com/Search/Refine.aspx?Keyword=RC0603JR-074K7L%20" TargetMode="External"/><Relationship Id="rId4" Type="http://schemas.openxmlformats.org/officeDocument/2006/relationships/hyperlink" Target="http://www.newark.com/yageo/rc0603jr-074k7l/res-thick-film-4k7-5-0-1w-0603/dp/68R0188" TargetMode="External"/><Relationship Id="rId5" Type="http://schemas.openxmlformats.org/officeDocument/2006/relationships/hyperlink" Target="http://www.digikey.com/product-detail/en/stmicroelectronics/ST3232ECTR/497-6538-1-ND/1865357" TargetMode="External"/><Relationship Id="rId6" Type="http://schemas.openxmlformats.org/officeDocument/2006/relationships/hyperlink" Target="http://www.digikey.com/scripts/DkSearch/dksus.dll?WT.z_header=search_go&amp;lang=en&amp;keywords=23A1024-I%2FSN%20%20" TargetMode="External"/><Relationship Id="rId7" Type="http://schemas.openxmlformats.org/officeDocument/2006/relationships/hyperlink" Target="http://www.mouser.com/ProductDetail/Microchip-Technology/23A1024-I-SN/?qs=sGAEpiMZZMt9mBA6nIyysHsFd6bhl6EdNPbGSDCA818%3D" TargetMode="External"/><Relationship Id="rId8" Type="http://schemas.openxmlformats.org/officeDocument/2006/relationships/hyperlink" Target="http://www.newark.com/webapp/wcs/stores/servlet/Search?catalogId=15003&amp;langId=-1&amp;storeId=10194&amp;gs=true&amp;st=23A1024-I%2FSN%20%20" TargetMode="External"/><Relationship Id="rId9" Type="http://schemas.openxmlformats.org/officeDocument/2006/relationships/hyperlink" Target="http://www.digikey.com/scripts/DkSearch/dksus.dll?WT.z_header=search_go&amp;lang=en&amp;keywords=93C46B-I%2FSN%20" TargetMode="External"/><Relationship Id="rId10" Type="http://schemas.openxmlformats.org/officeDocument/2006/relationships/hyperlink" Target="http://www.newark.com/webapp/wcs/stores/servlet/Search?catalogId=15003&amp;langId=-1&amp;storeId=10194&amp;gs=true&amp;st=93C46B-I%2FSN%20" TargetMode="External"/><Relationship Id="rId11" Type="http://schemas.openxmlformats.org/officeDocument/2006/relationships/hyperlink" Target="http://www.digikey.com/scripts/DkSearch/dksus.dll?WT.z_header=search_go&amp;lang=en&amp;keywords=MCP6024-E%2FST%20" TargetMode="External"/><Relationship Id="rId12" Type="http://schemas.openxmlformats.org/officeDocument/2006/relationships/hyperlink" Target="http://www.mouser.com/ProductDetail/Microchip-Technology/MCP6024-E-ST/?qs=sGAEpiMZZMtCHixnSjNA6Gd4d3iEGJDLQJQlp3SyFgs%3D" TargetMode="External"/><Relationship Id="rId13" Type="http://schemas.openxmlformats.org/officeDocument/2006/relationships/hyperlink" Target="http://www.newark.com/webapp/wcs/stores/servlet/Search?catalogId=15003&amp;langId=-1&amp;storeId=10194&amp;gs=true&amp;st=MCP6024-E%2FST%20" TargetMode="External"/><Relationship Id="rId14" Type="http://schemas.openxmlformats.org/officeDocument/2006/relationships/hyperlink" Target="http://www.digikey.com/product-detail/en/nichicon/UCW1C331MNL1GS/493-9415-1-ND/3962763" TargetMode="External"/><Relationship Id="rId15" Type="http://schemas.openxmlformats.org/officeDocument/2006/relationships/hyperlink" Target="http://www.newark.com/panasonic-electronic-components/eee-1ca331up/aluminum-electrolytic-capacitor/dp/49W5048?rpsku=rel3%3AUCW1C331MNL1GS" TargetMode="External"/><Relationship Id="rId16" Type="http://schemas.openxmlformats.org/officeDocument/2006/relationships/hyperlink" Target="http://www.digikey.com/scripts/DkSearch/dksus.dll?WT.z_header=search_go&amp;lang=en&amp;keywords=502AAA-ADAG%20" TargetMode="External"/><Relationship Id="rId17" Type="http://schemas.openxmlformats.org/officeDocument/2006/relationships/hyperlink" Target="http://www.digikey.com/product-detail/en/bourns-inc/CR2010-JW-101ELF/CR2010-JW-101ELFCT-ND/3741056" TargetMode="External"/><Relationship Id="rId18" Type="http://schemas.openxmlformats.org/officeDocument/2006/relationships/hyperlink" Target="http://www.mouser.com/Search/Refine.aspx?Keyword=CR2010-JW-101ELF%20%20" TargetMode="External"/><Relationship Id="rId19" Type="http://schemas.openxmlformats.org/officeDocument/2006/relationships/hyperlink" Target="http://www.newark.com/webapp/wcs/stores/servlet/Search?catalogId=15003&amp;langId=-1&amp;storeId=10194&amp;gs=true&amp;st=CR2010-JW-101ELF%20%20" TargetMode="External"/><Relationship Id="rId20" Type="http://schemas.openxmlformats.org/officeDocument/2006/relationships/hyperlink" Target="http://www.digikey.com/product-detail/en/kemet/T491A106K006AT/399-3683-1-ND/819008" TargetMode="External"/><Relationship Id="rId21" Type="http://schemas.openxmlformats.org/officeDocument/2006/relationships/hyperlink" Target="http://www.mouser.com/Search/Refine.aspx?Keyword=T491A106K006AT7280%20" TargetMode="External"/><Relationship Id="rId22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23" Type="http://schemas.openxmlformats.org/officeDocument/2006/relationships/hyperlink" Target="http://www.digikey.com/product-detail/en/kemet/T491A106K006AT/399-3683-1-ND/819008" TargetMode="External"/><Relationship Id="rId24" Type="http://schemas.openxmlformats.org/officeDocument/2006/relationships/hyperlink" Target="http://www.newark.com/kemet/t491a106k006at/tantalum-capacitor-10uf-6v-4-ohm/dp/57K1634" TargetMode="External"/><Relationship Id="rId25" Type="http://schemas.openxmlformats.org/officeDocument/2006/relationships/hyperlink" Target="http://www.digikey.com/scripts/DkSearch/dksus.dll?WT.z_header=search_go&amp;lang=en&amp;keywords=311-2.2KGRCT-ND%20" TargetMode="External"/><Relationship Id="rId26" Type="http://schemas.openxmlformats.org/officeDocument/2006/relationships/hyperlink" Target="http://www.digikey.com/product-detail/en/yageo/RC0603JR-072K2L/311-2.2KGRCT-ND/729676" TargetMode="External"/><Relationship Id="rId27" Type="http://schemas.openxmlformats.org/officeDocument/2006/relationships/hyperlink" Target="http://www.mouser.com/Search/Refine.aspx?Keyword=RC0603JR-072K2L%20%20" TargetMode="External"/><Relationship Id="rId28" Type="http://schemas.openxmlformats.org/officeDocument/2006/relationships/hyperlink" Target="http://www.newark.com/webapp/wcs/stores/servlet/Search?catalogId=15003&amp;langId=-1&amp;storeId=10194&amp;gs=true&amp;st=RC0603JR-072K2L%20%20" TargetMode="External"/><Relationship Id="rId29" Type="http://schemas.openxmlformats.org/officeDocument/2006/relationships/hyperlink" Target="http://www.digikey.com/product-detail/en/on-semiconductor/NCP1117ST33T3G/NCP1117ST33T3GOSCT-ND/660708" TargetMode="External"/><Relationship Id="rId30" Type="http://schemas.openxmlformats.org/officeDocument/2006/relationships/hyperlink" Target="http://www.newark.com/on-semiconductor/ncp1117st33t3g/ldo-voltage-regulator-3-3v-1a/dp/67H7013" TargetMode="External"/><Relationship Id="rId31" Type="http://schemas.openxmlformats.org/officeDocument/2006/relationships/hyperlink" Target="http://www.digikey.com/product-detail/en/murata-electronics-north-america/BLM18KG221SN1D/490-5255-1-ND/1982778" TargetMode="External"/><Relationship Id="rId32" Type="http://schemas.openxmlformats.org/officeDocument/2006/relationships/hyperlink" Target="http://www.mouser.com/Search/Refine.aspx?Keyword=BLM18KG221SN1D%20" TargetMode="External"/><Relationship Id="rId33" Type="http://schemas.openxmlformats.org/officeDocument/2006/relationships/hyperlink" Target="http://www.newark.com/webapp/wcs/stores/servlet/Search?catalogId=15003&amp;langId=-1&amp;storeId=10194&amp;gs=true&amp;st=BLM18KG221SN1D%20" TargetMode="External"/><Relationship Id="rId34" Type="http://schemas.openxmlformats.org/officeDocument/2006/relationships/hyperlink" Target="http://www.digikey.com/product-detail/en/murata-electronics-north-america/BLM18KG221SN1D/490-5255-1-ND/1982778" TargetMode="External"/><Relationship Id="rId35" Type="http://schemas.openxmlformats.org/officeDocument/2006/relationships/hyperlink" Target="http://www.mouser.com/Search/Refine.aspx?Keyword=BLM18KG221SN1D%20%20" TargetMode="External"/><Relationship Id="rId36" Type="http://schemas.openxmlformats.org/officeDocument/2006/relationships/hyperlink" Target="http://www.newark.com/webapp/wcs/stores/servlet/Search?catalogId=15003&amp;langId=-1&amp;storeId=10194&amp;gs=true&amp;st=BLM18KG221SN1D%20%20" TargetMode="External"/><Relationship Id="rId37" Type="http://schemas.openxmlformats.org/officeDocument/2006/relationships/hyperlink" Target="http://www.digikey.com/product-detail/en/fairchild-semiconductor/FQT13N06LTF/FQT13N06LTFCT-ND/3042614" TargetMode="External"/><Relationship Id="rId38" Type="http://schemas.openxmlformats.org/officeDocument/2006/relationships/hyperlink" Target="http://www.mouser.com/Search/Refine.aspx?Keyword=%20FQT13N06LTF%20" TargetMode="External"/><Relationship Id="rId39" Type="http://schemas.openxmlformats.org/officeDocument/2006/relationships/hyperlink" Target="http://www.newark.com/webapp/wcs/stores/servlet/Search?catalogId=15003&amp;langId=-1&amp;storeId=10194&amp;gs=true&amp;st=%20FQT13N06LTF%20" TargetMode="External"/><Relationship Id="rId40" Type="http://schemas.openxmlformats.org/officeDocument/2006/relationships/hyperlink" Target="http://www.digikey.com/product-detail/en/panasonic-electronic-components/ERA-3AEB333V/P33KDBCT-ND/1466088" TargetMode="External"/><Relationship Id="rId41" Type="http://schemas.openxmlformats.org/officeDocument/2006/relationships/hyperlink" Target="http://www.newark.com/panasonic-electronic-components/era-3aeb333v/res-thin-film-33k-0-1-0-1w-0603/dp/08N2119" TargetMode="External"/><Relationship Id="rId42" Type="http://schemas.openxmlformats.org/officeDocument/2006/relationships/hyperlink" Target="http://www.digikey.com/product-detail/en/kemet/C0603C471K5RACTU/399-1075-1-ND/411350" TargetMode="External"/><Relationship Id="rId43" Type="http://schemas.openxmlformats.org/officeDocument/2006/relationships/hyperlink" Target="http://www.newark.com/kemet/c0603c471k5ractu/ceramic-capacitor-470pf-50v-x7r/dp/30C5318" TargetMode="External"/><Relationship Id="rId44" Type="http://schemas.openxmlformats.org/officeDocument/2006/relationships/hyperlink" Target="http://www.digikey.com/product-detail/en/samsung-electro-mechanics-america-inc/CL10B272KB8SFNC/1276-2023-1-ND/3890109" TargetMode="External"/><Relationship Id="rId45" Type="http://schemas.openxmlformats.org/officeDocument/2006/relationships/hyperlink" Target="http://www.digikey.com/product-detail/en/bourns-inc/MH1608-221Y/MH1608-221YCT-ND/3767624" TargetMode="External"/><Relationship Id="rId46" Type="http://schemas.openxmlformats.org/officeDocument/2006/relationships/hyperlink" Target="http://www.newark.com/webapp/wcs/stores/servlet/Search?catalogId=15003&amp;langId=-1&amp;storeId=10194&amp;gs=true&amp;st=MH1608-221Y%20" TargetMode="External"/><Relationship Id="rId47" Type="http://schemas.openxmlformats.org/officeDocument/2006/relationships/hyperlink" Target="http://www.digikey.com/product-detail/en/kemet/C0603C105K9PACTU/399-7848-1-ND/3471571" TargetMode="External"/><Relationship Id="rId48" Type="http://schemas.openxmlformats.org/officeDocument/2006/relationships/hyperlink" Target="http://www.newark.com/kemet/c0603c105k9pactu/mlcc-capacitor-1uf-6-3v-x5r-10/dp/73H4095" TargetMode="External"/><Relationship Id="rId49" Type="http://schemas.openxmlformats.org/officeDocument/2006/relationships/hyperlink" Target="http://www.digikey.com/product-detail/en/yageo/RC0603JR-0722RL/311-22GRCT-ND/729690" TargetMode="External"/><Relationship Id="rId50" Type="http://schemas.openxmlformats.org/officeDocument/2006/relationships/hyperlink" Target="http://www.newark.com/yageo/rc0603jr-0722rl/res-thick-film-22r-5-0-1w-0603/dp/68R0168" TargetMode="External"/><Relationship Id="rId51" Type="http://schemas.openxmlformats.org/officeDocument/2006/relationships/hyperlink" Target="http://www.digikey.com/product-detail/en/bourns-inc/MF-USMF005-2/MF-USMF005-2CT-ND/1014930" TargetMode="External"/><Relationship Id="rId52" Type="http://schemas.openxmlformats.org/officeDocument/2006/relationships/hyperlink" Target="http://www.mouser.com/Search/Refine.aspx?Keyword=MF-USMF005-2%20" TargetMode="External"/><Relationship Id="rId53" Type="http://schemas.openxmlformats.org/officeDocument/2006/relationships/hyperlink" Target="http://www.newark.com/bourns/usmf005-2/fuse-ptc-reset-30v-50ma-1210/dp/75K7706" TargetMode="External"/><Relationship Id="rId54" Type="http://schemas.openxmlformats.org/officeDocument/2006/relationships/hyperlink" Target="http://www.digikey.com/scripts/DkSearch/dksus.dll?WT.z_header=search_go&amp;lang=en&amp;keywords=182-009-113R561%20%20" TargetMode="External"/><Relationship Id="rId55" Type="http://schemas.openxmlformats.org/officeDocument/2006/relationships/hyperlink" Target="http://www.mouser.com/Search/Refine.aspx?Keyword=182-009-113R561%20%20" TargetMode="External"/><Relationship Id="rId56" Type="http://schemas.openxmlformats.org/officeDocument/2006/relationships/hyperlink" Target="http://www.newark.com/webapp/wcs/stores/servlet/Search?catalogId=15003&amp;langId=-1&amp;storeId=10194&amp;gs=true&amp;st=182-009-113R561%20%20" TargetMode="External"/><Relationship Id="rId57" Type="http://schemas.openxmlformats.org/officeDocument/2006/relationships/hyperlink" Target="http://www.digikey.com/product-detail/en/yageo/RC0603JR-07100RL/311-100GRCT-ND/729644" TargetMode="External"/><Relationship Id="rId58" Type="http://schemas.openxmlformats.org/officeDocument/2006/relationships/hyperlink" Target="http://www.mouser.com/Search/Refine.aspx?Keyword=RC0603JR-07100RL%20" TargetMode="External"/><Relationship Id="rId59" Type="http://schemas.openxmlformats.org/officeDocument/2006/relationships/hyperlink" Target="http://www.newark.com/webapp/wcs/stores/servlet/Search?catalogId=15003&amp;langId=-1&amp;storeId=10194&amp;gs=true&amp;st=RC0603JR-07100RL%20" TargetMode="External"/><Relationship Id="rId60" Type="http://schemas.openxmlformats.org/officeDocument/2006/relationships/hyperlink" Target="http://www.digikey.com/product-detail/en/yageo/RC0603JR-07390RL/311-390GRCT-ND/729724" TargetMode="External"/><Relationship Id="rId61" Type="http://schemas.openxmlformats.org/officeDocument/2006/relationships/hyperlink" Target="http://www.newark.com/yageo/rc0603jr-07390rl/res-thick-film-390r-5-0-1w-0603/dp/68R0187" TargetMode="External"/><Relationship Id="rId62" Type="http://schemas.openxmlformats.org/officeDocument/2006/relationships/hyperlink" Target="http://www.digikey.com/product-detail/en/yageo/RC0603JR-07270RL/311-270GRCT-ND/729696" TargetMode="External"/><Relationship Id="rId63" Type="http://schemas.openxmlformats.org/officeDocument/2006/relationships/hyperlink" Target="http://www.mouser.com/Search/Refine.aspx?Keyword=RC0603JR-07270RL%20%20" TargetMode="External"/><Relationship Id="rId64" Type="http://schemas.openxmlformats.org/officeDocument/2006/relationships/hyperlink" Target="http://www.newark.com/yageo/rc0603jr-07270rl/res-thick-film-270r-5-0-1w-0603/dp/68R0174" TargetMode="External"/><Relationship Id="rId65" Type="http://schemas.openxmlformats.org/officeDocument/2006/relationships/hyperlink" Target="http://www.digikey.com/product-detail/en/yageo/RC0603JR-07270RL/311-270GRCT-ND/729696" TargetMode="External"/><Relationship Id="rId66" Type="http://schemas.openxmlformats.org/officeDocument/2006/relationships/hyperlink" Target="http://www.mouser.com/Search/Refine.aspx?Keyword=RC0603JR-07270RL%20" TargetMode="External"/><Relationship Id="rId67" Type="http://schemas.openxmlformats.org/officeDocument/2006/relationships/hyperlink" Target="http://www.newark.com/yageo/rc0603jr-07270rl/res-thick-film-270r-5-0-1w-0603/dp/68R0174" TargetMode="External"/><Relationship Id="rId68" Type="http://schemas.openxmlformats.org/officeDocument/2006/relationships/hyperlink" Target="http://www.digikey.com/product-detail/en/yageo/RC0603JR-07100KL/311-100KGRCT-ND/729645" TargetMode="External"/><Relationship Id="rId69" Type="http://schemas.openxmlformats.org/officeDocument/2006/relationships/hyperlink" Target="http://www.mouser.com/Search/Refine.aspx?Keyword=RC0603JR-07100KL%20" TargetMode="External"/><Relationship Id="rId70" Type="http://schemas.openxmlformats.org/officeDocument/2006/relationships/hyperlink" Target="http://www.newark.com/yageo/rc0603jr-07100kl/res-thick-film-100k-5-0-1w-0603/dp/68R0147" TargetMode="External"/><Relationship Id="rId71" Type="http://schemas.openxmlformats.org/officeDocument/2006/relationships/hyperlink" Target="http://www.digikey.com/product-detail/en/epson/FA-238V-12.0000MB-W3/SER3683CT-ND/2403456" TargetMode="External"/><Relationship Id="rId72" Type="http://schemas.openxmlformats.org/officeDocument/2006/relationships/hyperlink" Target="http://www.digikey.com/product-detail/en/yageo/RC0603JR-070RL/311-0.0GRCT-ND/729622" TargetMode="External"/><Relationship Id="rId73" Type="http://schemas.openxmlformats.org/officeDocument/2006/relationships/hyperlink" Target="http://www.newark.com/yageo/rc0603jr-070rl/res-thick-film-0r-0-1w-0603/dp/68R0136" TargetMode="External"/><Relationship Id="rId74" Type="http://schemas.openxmlformats.org/officeDocument/2006/relationships/hyperlink" Target="http://www.digikey.com/product-detail/en/kemet/C0603C335M9PACTU/399-5502-1-ND/1950680" TargetMode="External"/><Relationship Id="rId75" Type="http://schemas.openxmlformats.org/officeDocument/2006/relationships/hyperlink" Target="http://www.newark.com/webapp/wcs/stores/servlet/Search?catalogId=15003&amp;langId=-1&amp;storeId=10194&amp;gs=true&amp;st=C0603C335M9PACTU%20" TargetMode="External"/><Relationship Id="rId76" Type="http://schemas.openxmlformats.org/officeDocument/2006/relationships/hyperlink" Target="http://www.digikey.com/product-detail/en/nichicon/UCL1V471MNL1GS/493-3961-1-ND/2300388" TargetMode="External"/><Relationship Id="rId77" Type="http://schemas.openxmlformats.org/officeDocument/2006/relationships/hyperlink" Target="http://www.newark.com/nichicon/ucl1v471mnl1gs/aluminum-electrolytic-capacitor/dp/84R9019" TargetMode="External"/><Relationship Id="rId78" Type="http://schemas.openxmlformats.org/officeDocument/2006/relationships/hyperlink" Target="http://www.digikey.com/product-detail/en/everlight-electronics-co-ltd/QTLP600C7TR/1080-1400-1-ND/2676134" TargetMode="External"/><Relationship Id="rId79" Type="http://schemas.openxmlformats.org/officeDocument/2006/relationships/hyperlink" Target="http://www.digikey.com/product-detail/en/samsung-electro-mechanics-america-inc/CL10B562KB8SFNC/1276-2092-1-ND/3890178" TargetMode="External"/><Relationship Id="rId80" Type="http://schemas.openxmlformats.org/officeDocument/2006/relationships/hyperlink" Target="http://www.newark.com/multicomp/mc0603b562k500ct/ceramic-capacitor-5600pf-50v-x7r/dp/06R5033?iscrfnonsku=true" TargetMode="External"/><Relationship Id="rId81" Type="http://schemas.openxmlformats.org/officeDocument/2006/relationships/hyperlink" Target="http://www.digikey.com/product-detail/en/susumu/RG1608P-153-B-T5/RG16P15.0KBCT-ND/1240871" TargetMode="External"/><Relationship Id="rId82" Type="http://schemas.openxmlformats.org/officeDocument/2006/relationships/hyperlink" Target="http://www.newark.com/webapp/wcs/stores/servlet/Search?catalogId=15003&amp;langId=-1&amp;storeId=10194&amp;gs=true&amp;st=RG1608P-153-B-T5%20" TargetMode="External"/><Relationship Id="rId83" Type="http://schemas.openxmlformats.org/officeDocument/2006/relationships/hyperlink" Target="http://www.digikey.com/product-detail/en/kemet/C0603C103K5RACTU/399-1091-1-ND/411366" TargetMode="External"/><Relationship Id="rId84" Type="http://schemas.openxmlformats.org/officeDocument/2006/relationships/hyperlink" Target="http://www.newark.com/kemet/c0603c103k5ractu/ceramic-capacitor-0-01uf-50v-x7r/dp/30C5334" TargetMode="External"/><Relationship Id="rId85" Type="http://schemas.openxmlformats.org/officeDocument/2006/relationships/hyperlink" Target="http://www.digikey.com/product-detail/en/panasonic-electronic-components/ERA-3AEB2491V/P2.49KDBCT-ND/3075884" TargetMode="External"/><Relationship Id="rId86" Type="http://schemas.openxmlformats.org/officeDocument/2006/relationships/hyperlink" Target="http://www.newark.com/panasonic-electronic-components/era-3aeb2491v/res-metal-film-2k49-0-1-0-1w-0603/dp/53W8341" TargetMode="External"/><Relationship Id="rId87" Type="http://schemas.openxmlformats.org/officeDocument/2006/relationships/hyperlink" Target="http://www.digikey.com/product-detail/en/yageo/RC0603JR-071KL/311-1.0KGRCT-ND/729624" TargetMode="External"/><Relationship Id="rId88" Type="http://schemas.openxmlformats.org/officeDocument/2006/relationships/hyperlink" Target="http://www.newark.com/yageo/rc0603jr-071kl/res-thick-film-1k-5-0-1w-0603/dp/68R0137" TargetMode="External"/><Relationship Id="rId89" Type="http://schemas.openxmlformats.org/officeDocument/2006/relationships/hyperlink" Target="http://www.digikey.com/product-detail/en/yageo/RC0603JR-071KL/311-1.0KGRCT-ND/729624" TargetMode="External"/><Relationship Id="rId90" Type="http://schemas.openxmlformats.org/officeDocument/2006/relationships/hyperlink" Target="http://www.newark.com/yageo/rc0603jr-071kl/res-thick-film-1k-5-0-1w-0603/dp/68R0137" TargetMode="External"/><Relationship Id="rId91" Type="http://schemas.openxmlformats.org/officeDocument/2006/relationships/hyperlink" Target="http://www.digikey.com/product-detail/en/diodes-incorporated/B540C-13-F/B540C-FDICT-ND/768814" TargetMode="External"/><Relationship Id="rId92" Type="http://schemas.openxmlformats.org/officeDocument/2006/relationships/hyperlink" Target="http://www.newark.com/diodes-inc/b540c-13-f/schottky-diode-5a-40v-smc/dp/12T1472" TargetMode="External"/><Relationship Id="rId93" Type="http://schemas.openxmlformats.org/officeDocument/2006/relationships/hyperlink" Target="http://www.digikey.com/product-detail/en/murata-electronics-north-america/GRM033R71E331KA01D/490-3178-1-ND/702719" TargetMode="External"/><Relationship Id="rId94" Type="http://schemas.openxmlformats.org/officeDocument/2006/relationships/hyperlink" Target="http://www.newark.com/webapp/wcs/stores/servlet/Search?catalogId=15003&amp;langId=-1&amp;storeId=10194&amp;gs=true&amp;st=GRM033R71E331KA01D%20" TargetMode="External"/><Relationship Id="rId95" Type="http://schemas.openxmlformats.org/officeDocument/2006/relationships/hyperlink" Target="http://www.digikey.com/product-detail/en/panasonic-electronic-components/ERJ-8GEYJ222V/P2.2KECT-ND/203296" TargetMode="External"/><Relationship Id="rId96" Type="http://schemas.openxmlformats.org/officeDocument/2006/relationships/hyperlink" Target="http://www.newark.com/panasonic-electronic-components/erj-8geyj222v/res-thick-film-2k2-5-0-25w-1206/dp/65T8919" TargetMode="External"/><Relationship Id="rId97" Type="http://schemas.openxmlformats.org/officeDocument/2006/relationships/hyperlink" Target="http://www.digikey.com/product-detail/en/yageo/RC0603JR-0710KL/311-10KGRCT-ND/729647" TargetMode="External"/><Relationship Id="rId98" Type="http://schemas.openxmlformats.org/officeDocument/2006/relationships/hyperlink" Target="http://www.newark.com/yageo/rc0603jr-0710kl/res-thick-film-10k-5-0-1w-0603/dp/68R0144" TargetMode="External"/><Relationship Id="rId99" Type="http://schemas.openxmlformats.org/officeDocument/2006/relationships/hyperlink" Target="http://www.digikey.com/product-detail/en/yageo/RC0603JR-0710KL/311-10KGRCT-ND/729647" TargetMode="External"/><Relationship Id="rId100" Type="http://schemas.openxmlformats.org/officeDocument/2006/relationships/hyperlink" Target="http://www.newark.com/yageo/rc0603jr-0710kl/res-thick-film-10k-5-0-1w-0603/dp/68R0144" TargetMode="External"/><Relationship Id="rId101" Type="http://schemas.openxmlformats.org/officeDocument/2006/relationships/hyperlink" Target="http://www.digikey.com/product-detail/en/maxim-integrated/MAX3072EESA-T/MAX3072EESA-TCT-ND/3647905" TargetMode="External"/><Relationship Id="rId102" Type="http://schemas.openxmlformats.org/officeDocument/2006/relationships/hyperlink" Target="http://www.newark.com/webapp/wcs/stores/servlet/Search?catalogId=15003&amp;langId=-1&amp;storeId=10194&amp;gs=true&amp;st=MAX3072EESA%2BT%20" TargetMode="External"/><Relationship Id="rId103" Type="http://schemas.openxmlformats.org/officeDocument/2006/relationships/hyperlink" Target="http://www.digikey.com/product-detail/en/te-connectivity-alcoswitch-switches/FSM2JSMAATR/450-1792-1-ND/3503931" TargetMode="External"/><Relationship Id="rId104" Type="http://schemas.openxmlformats.org/officeDocument/2006/relationships/hyperlink" Target="http://www.newark.com/webapp/wcs/stores/servlet/Search?catalogId=15003&amp;langId=-1&amp;storeId=10194&amp;gs=true&amp;st=FSM2JSMAATR%20" TargetMode="External"/><Relationship Id="rId105" Type="http://schemas.openxmlformats.org/officeDocument/2006/relationships/hyperlink" Target="http://www.digikey.com/product-detail/en/kemet/C0603C105K9PACTU/399-7848-1-ND/3471571" TargetMode="External"/><Relationship Id="rId106" Type="http://schemas.openxmlformats.org/officeDocument/2006/relationships/hyperlink" Target="http://www.newark.com/kemet/c0603c105k9pactu/mlcc-capacitor-1uf-6-3v-x5r-10/dp/73H4095" TargetMode="External"/><Relationship Id="rId107" Type="http://schemas.openxmlformats.org/officeDocument/2006/relationships/hyperlink" Target="http://www.digikey.com/product-detail/en/panasonic-electronic-components/ERJ-3EKF8451V/P8.45KHCT-ND/198516" TargetMode="External"/><Relationship Id="rId108" Type="http://schemas.openxmlformats.org/officeDocument/2006/relationships/hyperlink" Target="http://www.newark.com/panasonic-electronic-components/erj-3ekf8451v/res-thick-film-8k45-1-0-1w-0603/dp/65T8533" TargetMode="External"/><Relationship Id="rId109" Type="http://schemas.openxmlformats.org/officeDocument/2006/relationships/hyperlink" Target="http://www.digikey.com/product-detail/en/lite-on-inc/LTST-C191KGKT/160-1446-1-ND/386834" TargetMode="External"/><Relationship Id="rId110" Type="http://schemas.openxmlformats.org/officeDocument/2006/relationships/hyperlink" Target="http://www.newark.com/webapp/wcs/stores/servlet/Search?catalogId=15003&amp;langId=-1&amp;storeId=10194&amp;gs=true&amp;st=LTST-C191KGKT%20" TargetMode="External"/><Relationship Id="rId111" Type="http://schemas.openxmlformats.org/officeDocument/2006/relationships/hyperlink" Target="http://www.digikey.com/product-detail/en/on-semiconductor/P6SMB12CAT3G/P6SMB12CAT3GOSCT-ND/1967278" TargetMode="External"/><Relationship Id="rId112" Type="http://schemas.openxmlformats.org/officeDocument/2006/relationships/hyperlink" Target="http://www.newark.com/on-semiconductor/p6smb12cat3g/tvs-diode-600w-12v-403a/dp/09R9693" TargetMode="External"/><Relationship Id="rId113" Type="http://schemas.openxmlformats.org/officeDocument/2006/relationships/hyperlink" Target="http://www.digikey.com/product-detail/en/panasonic-electronic-components/ERA-3AEB2491V/P2.49KDBCT-ND/3075884" TargetMode="External"/><Relationship Id="rId114" Type="http://schemas.openxmlformats.org/officeDocument/2006/relationships/hyperlink" Target="http://www.newark.com/panasonic-electronic-components/era-3aeb2491v/res-metal-film-2k49-0-1-0-1w-0603/dp/53W8341" TargetMode="External"/><Relationship Id="rId115" Type="http://schemas.openxmlformats.org/officeDocument/2006/relationships/hyperlink" Target="http://www.digikey.com/product-detail/en/texas-instruments/TXB0108PWR/296-21527-1-ND/1305700" TargetMode="External"/><Relationship Id="rId116" Type="http://schemas.openxmlformats.org/officeDocument/2006/relationships/hyperlink" Target="http://www.newark.com/texas-instruments/txb0108pwr/8-bit-voltage-level-xlator-tssop/dp/27M1151" TargetMode="External"/><Relationship Id="rId117" Type="http://schemas.openxmlformats.org/officeDocument/2006/relationships/hyperlink" Target="http://www.digikey.com/product-detail/en/kemet/C0603C104K5RACTU/399-5089-1-ND/1465623" TargetMode="External"/><Relationship Id="rId118" Type="http://schemas.openxmlformats.org/officeDocument/2006/relationships/hyperlink" Target="http://www.newark.com/kemet/c0603c104k5ractu/ceramic-capacitor-0-1uf-50v-x7r/dp/72J5992" TargetMode="External"/><Relationship Id="rId119" Type="http://schemas.openxmlformats.org/officeDocument/2006/relationships/hyperlink" Target="http://www.digikey.com/product-detail/en/yageo/RC0603JR-072K2L/311-2.2KGRCT-ND/729676" TargetMode="External"/><Relationship Id="rId120" Type="http://schemas.openxmlformats.org/officeDocument/2006/relationships/hyperlink" Target="http://www.newark.com/webapp/wcs/stores/servlet/Search?catalogId=15003&amp;langId=-1&amp;storeId=10194&amp;gs=true&amp;st=RC0603JR-072K2L%20%20" TargetMode="External"/><Relationship Id="rId121" Type="http://schemas.openxmlformats.org/officeDocument/2006/relationships/hyperlink" Target="http://www.digikey.com/product-detail/en/yageo/RC0603FR-0712K1L/311-12.1KHRCT-ND/729862" TargetMode="External"/><Relationship Id="rId122" Type="http://schemas.openxmlformats.org/officeDocument/2006/relationships/hyperlink" Target="http://www.newark.com/yageo/rc0603fr-0712k1l/res-thick-film-12k1-1-0-1w-0603/dp/66R2021" TargetMode="External"/><Relationship Id="rId123" Type="http://schemas.openxmlformats.org/officeDocument/2006/relationships/hyperlink" Target="http://www.digikey.com/product-detail/en/on-semiconductor/MMSZ5V6T1G/MMSZ5V6T1GOSCT-ND/919785" TargetMode="External"/><Relationship Id="rId124" Type="http://schemas.openxmlformats.org/officeDocument/2006/relationships/hyperlink" Target="http://www.newark.com/on-semiconductor/mmsz5v6t1g/zener-diode-500mw-5-6v-sod-123/dp/45J1588" TargetMode="External"/><Relationship Id="rId125" Type="http://schemas.openxmlformats.org/officeDocument/2006/relationships/hyperlink" Target="http://www.digikey.com/product-detail/en/yageo/RC0603JR-07220RL/311-220GRCT-ND/729688" TargetMode="External"/><Relationship Id="rId126" Type="http://schemas.openxmlformats.org/officeDocument/2006/relationships/hyperlink" Target="http://www.newark.com/yageo/rc0603jr-07220rl/res-thick-film-220r-5-0-1w-0603/dp/68R0170" TargetMode="External"/><Relationship Id="rId127" Type="http://schemas.openxmlformats.org/officeDocument/2006/relationships/hyperlink" Target="http://www.digikey.com/product-detail/en/kemet/C0603C102K5RACTU/399-1082-1-ND/411357" TargetMode="External"/><Relationship Id="rId128" Type="http://schemas.openxmlformats.org/officeDocument/2006/relationships/hyperlink" Target="http://www.newark.com/kemet/c0603c102k5ractu/ceramic-capacitor-1000pf-50v-x7r/dp/51B220" TargetMode="External"/><Relationship Id="rId129" Type="http://schemas.openxmlformats.org/officeDocument/2006/relationships/hyperlink" Target="http://www.digikey.com/product-detail/en/susumu/RG1608P-153-B-T5/RG16P15.0KBCT-ND/1240871" TargetMode="External"/><Relationship Id="rId130" Type="http://schemas.openxmlformats.org/officeDocument/2006/relationships/hyperlink" Target="http://www.newark.com/webapp/wcs/stores/servlet/Search?catalogId=15003&amp;langId=-1&amp;storeId=10194&amp;gs=true&amp;st=RG1608P-153-B-T5%20%20" TargetMode="External"/><Relationship Id="rId131" Type="http://schemas.openxmlformats.org/officeDocument/2006/relationships/hyperlink" Target="http://www.digikey.com/product-detail/en/yageo/RC0603FR-0719K1L/311-19.1KHRCT-ND/729948" TargetMode="External"/><Relationship Id="rId132" Type="http://schemas.openxmlformats.org/officeDocument/2006/relationships/hyperlink" Target="http://www.newark.com/webapp/wcs/stores/servlet/Search?catalogId=15003&amp;langId=-1&amp;storeId=10194&amp;gs=true&amp;st=RC0603FR-0719K1L%20" TargetMode="External"/><Relationship Id="rId133" Type="http://schemas.openxmlformats.org/officeDocument/2006/relationships/hyperlink" Target="http://www.digikey.com/product-detail/en/on-semiconductor/MURS360T3G/MURS360T3GOSCT-ND/964580" TargetMode="External"/><Relationship Id="rId134" Type="http://schemas.openxmlformats.org/officeDocument/2006/relationships/hyperlink" Target="http://www.newark.com/on-semiconductor/murs360t3g/fast-recovery-diode-3a-600v-403/dp/88H4945" TargetMode="External"/><Relationship Id="rId135" Type="http://schemas.openxmlformats.org/officeDocument/2006/relationships/hyperlink" Target="http://www.digikey.com/product-detail/en/nxp-semiconductors/PMEG3020EH,115/568-4129-1-ND/1589944" TargetMode="External"/><Relationship Id="rId136" Type="http://schemas.openxmlformats.org/officeDocument/2006/relationships/hyperlink" Target="http://www.newark.com/nxp/pmeg3020eh-115/schottky-diode-2a-30v-sod-123f/dp/75R0878" TargetMode="External"/><Relationship Id="rId137" Type="http://schemas.openxmlformats.org/officeDocument/2006/relationships/hyperlink" Target="http://www.digikey.com/product-detail/en/texas-instruments/LM2596SX-5.0-NOPB/LM2596SX-5.0-NOPBCT-ND/3767457" TargetMode="External"/><Relationship Id="rId138" Type="http://schemas.openxmlformats.org/officeDocument/2006/relationships/hyperlink" Target="http://www.newark.com/texas-instruments/lm2596sx-5-0-nopb/step-down-voltage-regulator-to/dp/41K3848" TargetMode="External"/><Relationship Id="rId139" Type="http://schemas.openxmlformats.org/officeDocument/2006/relationships/hyperlink" Target="http://www.digikey.com/product-detail/en/cts-frequency-controls/TC25L5I32K7680/CTX1183CT-ND/3511747" TargetMode="External"/><Relationship Id="rId140" Type="http://schemas.openxmlformats.org/officeDocument/2006/relationships/hyperlink" Target="http://www.digikey.com/scripts/DkSearch/dksus.dll?WT.z_header=search_go&amp;lang=en&amp;keywords=311-1.5KGRCT-ND%20" TargetMode="External"/><Relationship Id="rId141" Type="http://schemas.openxmlformats.org/officeDocument/2006/relationships/hyperlink" Target="http://www.digikey.com/product-detail/en/nxp-semiconductors/PESD1CAN,215/568-4032-1-ND/1530822" TargetMode="External"/><Relationship Id="rId142" Type="http://schemas.openxmlformats.org/officeDocument/2006/relationships/hyperlink" Target="http://www.newark.com/nxp/pesd1can-215/diode-esd-24v-sot-23/dp/75R4742" TargetMode="External"/><Relationship Id="rId143" Type="http://schemas.openxmlformats.org/officeDocument/2006/relationships/hyperlink" Target="http://www.digikey.com/product-detail/en/microchip-technology/24AA025E48T-I-SN/24AA025E48T-I-SNCT-ND/5147216" TargetMode="External"/><Relationship Id="rId144" Type="http://schemas.openxmlformats.org/officeDocument/2006/relationships/hyperlink" Target="http://www.newark.com/webapp/wcs/stores/servlet/Search?catalogId=15003&amp;langId=-1&amp;storeId=10194&amp;gs=true&amp;st=24AA025E48T-I%2FSN%20" TargetMode="External"/><Relationship Id="rId145" Type="http://schemas.openxmlformats.org/officeDocument/2006/relationships/hyperlink" Target="http://www.digikey.com/product-detail/en/yageo/RC0603JR-074K7L/311-4.7KGRCT-ND/729732" TargetMode="External"/><Relationship Id="rId146" Type="http://schemas.openxmlformats.org/officeDocument/2006/relationships/hyperlink" Target="http://www.newark.com/yageo/rc0603jr-074k7l/res-thick-film-4k7-5-0-1w-0603/dp/68R0188" TargetMode="External"/><Relationship Id="rId147" Type="http://schemas.openxmlformats.org/officeDocument/2006/relationships/hyperlink" Target="http://www.digikey.com/scripts/DkSearch/dksus.dll?WT.z_header=search_go&amp;lang=en&amp;keywords=SST26VF064BAT-104I%2FSM%20" TargetMode="External"/><Relationship Id="rId148" Type="http://schemas.openxmlformats.org/officeDocument/2006/relationships/hyperlink" Target="http://www.newark.com/webapp/wcs/stores/servlet/Search?catalogId=15003&amp;langId=-1&amp;storeId=10194&amp;gs=true&amp;st=SST26VF064BAT-104I%2FSM%20" TargetMode="External"/><Relationship Id="rId149" Type="http://schemas.openxmlformats.org/officeDocument/2006/relationships/hyperlink" Target="http://www.digikey.com/product-detail/en/eaton/PTS12066V100/283-3142-1-ND/2639174" TargetMode="External"/><Relationship Id="rId150" Type="http://schemas.openxmlformats.org/officeDocument/2006/relationships/hyperlink" Target="http://www.newark.com/webapp/wcs/stores/servlet/Search?catalogId=15003&amp;langId=-1&amp;storeId=10194&amp;gs=true&amp;st=PTS12066V100%20" TargetMode="External"/><Relationship Id="rId151" Type="http://schemas.openxmlformats.org/officeDocument/2006/relationships/hyperlink" Target="http://www.digikey.com/product-detail/en/bourns-inc/MF-USMF110-2/MF-USMF110-2CT-ND/1014924" TargetMode="External"/><Relationship Id="rId152" Type="http://schemas.openxmlformats.org/officeDocument/2006/relationships/hyperlink" Target="http://www.newark.com/webapp/wcs/stores/servlet/Search?catalogId=15003&amp;langId=-1&amp;storeId=10194&amp;gs=true&amp;st=MF-USMF110-2%20" TargetMode="External"/><Relationship Id="rId153" Type="http://schemas.openxmlformats.org/officeDocument/2006/relationships/hyperlink" Target="http://www.digikey.com/product-detail/en/bourns-inc/MF-USMF110-2/MF-USMF110-2CT-ND/1014924" TargetMode="External"/><Relationship Id="rId154" Type="http://schemas.openxmlformats.org/officeDocument/2006/relationships/hyperlink" Target="http://www.newark.com/webapp/wcs/stores/servlet/Search?catalogId=15003&amp;langId=-1&amp;storeId=10194&amp;gs=true&amp;st=MF-USMF110-2%20" TargetMode="External"/><Relationship Id="rId155" Type="http://schemas.openxmlformats.org/officeDocument/2006/relationships/hyperlink" Target="http://www.digikey.com/product-detail/en/kemet/C0603C105K9PACTU/399-7848-1-ND/3471571" TargetMode="External"/><Relationship Id="rId156" Type="http://schemas.openxmlformats.org/officeDocument/2006/relationships/hyperlink" Target="http://www.newark.com/kemet/c0603c105k9pactu/mlcc-capacitor-1uf-6-3v-x5r-10/dp/73H4095" TargetMode="External"/><Relationship Id="rId157" Type="http://schemas.openxmlformats.org/officeDocument/2006/relationships/hyperlink" Target="http://www.digikey.com/product-detail/en/microchip-technology/LAN8740A-EN/LAN8740A-EN-ND/4079780" TargetMode="External"/><Relationship Id="rId158" Type="http://schemas.openxmlformats.org/officeDocument/2006/relationships/hyperlink" Target="http://www.newark.com/webapp/wcs/stores/servlet/Search?catalogId=15003&amp;langId=-1&amp;storeId=10194&amp;gs=true&amp;st=LAN8740A-EN%20" TargetMode="External"/><Relationship Id="rId159" Type="http://schemas.openxmlformats.org/officeDocument/2006/relationships/hyperlink" Target="http://www.digikey.com/scripts/DkSearch/dksus.dll?WT.z_header=search_go&amp;lang=en&amp;keywords=PS2805C-4-A%20" TargetMode="External"/><Relationship Id="rId160" Type="http://schemas.openxmlformats.org/officeDocument/2006/relationships/hyperlink" Target="http://www.digikey.com/product-detail/en/yageo/RC0603FR-074K7L/311-4.70KHRCT-ND/730159" TargetMode="External"/><Relationship Id="rId161" Type="http://schemas.openxmlformats.org/officeDocument/2006/relationships/hyperlink" Target="http://www.newark.com/yageo/rc0603fr-074k7l/res-thick-film-4k7-1-0-1w-0603/dp/68R0092" TargetMode="External"/><Relationship Id="rId162" Type="http://schemas.openxmlformats.org/officeDocument/2006/relationships/hyperlink" Target="http://www.digikey.com/product-detail/en/yageo/RC0603FR-074K7L/311-4.70KHRCT-ND/730159" TargetMode="External"/><Relationship Id="rId163" Type="http://schemas.openxmlformats.org/officeDocument/2006/relationships/hyperlink" Target="http://www.newark.com/yageo/rc0603fr-074k7l/res-thick-film-4k7-1-0-1w-0603/dp/68R0092" TargetMode="External"/><Relationship Id="rId164" Type="http://schemas.openxmlformats.org/officeDocument/2006/relationships/hyperlink" Target="http://www.digikey.com/product-detail/en/hirose-electric-co-ltd/ZX62-B-5PA(11)/H11634TR-ND/1993367" TargetMode="External"/><Relationship Id="rId165" Type="http://schemas.openxmlformats.org/officeDocument/2006/relationships/hyperlink" Target="http://www.digikey.com/product-detail/en/hirose-electric-co-ltd/ZX62-AB-5PA(11)/H11635TR-ND/1993368" TargetMode="External"/><Relationship Id="rId166" Type="http://schemas.openxmlformats.org/officeDocument/2006/relationships/hyperlink" Target="http://www.newark.com/te-connectivity-amp/1981584-1/micro-usb-2-0-type-ab-receptacle/dp/51X1932?rpsku=rel3%3AZX62AB5PA11" TargetMode="External"/><Relationship Id="rId167" Type="http://schemas.openxmlformats.org/officeDocument/2006/relationships/hyperlink" Target="http://www.digikey.com/scripts/DkSearch/dksus.dll?WT.z_header=search_go&amp;lang=en&amp;keywords=G5V-2-DC5%20" TargetMode="External"/><Relationship Id="rId168" Type="http://schemas.openxmlformats.org/officeDocument/2006/relationships/hyperlink" Target="http://www.newark.com/webapp/wcs/stores/servlet/Search?catalogId=15003&amp;langId=-1&amp;storeId=10194&amp;gs=true&amp;st=G5V-2-DC5%20" TargetMode="External"/><Relationship Id="rId169" Type="http://schemas.openxmlformats.org/officeDocument/2006/relationships/hyperlink" Target="http://www.digikey.com/product-detail/en/panasonic-electronic-components/ERA-3AEB2370V/P237DBCT-ND/3075875" TargetMode="External"/><Relationship Id="rId170" Type="http://schemas.openxmlformats.org/officeDocument/2006/relationships/hyperlink" Target="http://www.newark.com/webapp/wcs/stores/servlet/Search?catalogId=15003&amp;langId=-1&amp;storeId=10194&amp;gs=true&amp;st=ERA-3AEB2370V%20%20" TargetMode="External"/><Relationship Id="rId171" Type="http://schemas.openxmlformats.org/officeDocument/2006/relationships/hyperlink" Target="http://www.digikey.com/product-detail/en/everlight-electronics-co-ltd/QTLP600C7TR/1080-1400-1-ND/2676134" TargetMode="External"/><Relationship Id="rId172" Type="http://schemas.openxmlformats.org/officeDocument/2006/relationships/hyperlink" Target="http://www.digikey.com/product-detail/en/texas-instruments/SN65HVD230DR/296-11654-1-ND/404366" TargetMode="External"/><Relationship Id="rId173" Type="http://schemas.openxmlformats.org/officeDocument/2006/relationships/hyperlink" Target="http://www.newark.com/texas-instruments/sn65hvd230dr/can-transceiver-1mbps-1-1-3-3v/dp/75C7745" TargetMode="External"/><Relationship Id="rId174" Type="http://schemas.openxmlformats.org/officeDocument/2006/relationships/hyperlink" Target="http://www.digikey.com/product-detail/en/microchip-technology/MCP1416T-E-OT/MCP1416T-E-OTCT-ND/1963940" TargetMode="External"/><Relationship Id="rId175" Type="http://schemas.openxmlformats.org/officeDocument/2006/relationships/hyperlink" Target="http://www.newark.com/microchip/mcp1416t-e-ot/mosfet-driver-low-side-sot-23/dp/77M2548" TargetMode="External"/><Relationship Id="rId176" Type="http://schemas.openxmlformats.org/officeDocument/2006/relationships/hyperlink" Target="http://www.digikey.com/product-detail/en/microchip-technology/MCP9700AT-E-TT/MCP9700AT-E-TTCT-ND/3622388" TargetMode="External"/><Relationship Id="rId177" Type="http://schemas.openxmlformats.org/officeDocument/2006/relationships/hyperlink" Target="http://www.newark.com/microchip/mcp9700at-e-tt/linear-active-thermistor-2-c-sot/dp/84R5199" TargetMode="External"/><Relationship Id="rId178" Type="http://schemas.openxmlformats.org/officeDocument/2006/relationships/hyperlink" Target="http://www.digikey.com/product-detail/en/vishay-semiconductor-diodes-division/P6SMB33CA-E3-52/P6SMB33CA-E3-52GICT-ND/3306509" TargetMode="External"/><Relationship Id="rId179" Type="http://schemas.openxmlformats.org/officeDocument/2006/relationships/hyperlink" Target="http://www.newark.com/webapp/wcs/stores/servlet/Search?catalogId=15003&amp;langId=-1&amp;storeId=10194&amp;gs=true&amp;st=P6SMB33CA-E3%2F52%20" TargetMode="External"/><Relationship Id="rId180" Type="http://schemas.openxmlformats.org/officeDocument/2006/relationships/hyperlink" Target="http://www.digikey.com/product-detail/en/kemet/T491A106K006AT/399-3683-1-ND/819008" TargetMode="External"/><Relationship Id="rId181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182" Type="http://schemas.openxmlformats.org/officeDocument/2006/relationships/hyperlink" Target="http://www.digikey.com/product-detail/en/microchip-technology/24AA1025T-I-SN/24AA1025T-I-SNCT-ND/2332859" TargetMode="External"/><Relationship Id="rId183" Type="http://schemas.openxmlformats.org/officeDocument/2006/relationships/hyperlink" Target="http://www.newark.com/microchip/24aa1025t-i-sn/serial-eeprom-1mbit-400khz-soic/dp/86W6591" TargetMode="External"/><Relationship Id="rId184" Type="http://schemas.openxmlformats.org/officeDocument/2006/relationships/hyperlink" Target="http://www.digikey.com/product-detail/en/on-semiconductor/BC817-40LT1G/BC817-40LT1GOSCT-ND/917830" TargetMode="External"/><Relationship Id="rId185" Type="http://schemas.openxmlformats.org/officeDocument/2006/relationships/hyperlink" Target="http://www.newark.com/on-semiconductor/bc817-40lt3g/bipolar-transistor-npn-45v-full/dp/88H4563" TargetMode="External"/><Relationship Id="rId186" Type="http://schemas.openxmlformats.org/officeDocument/2006/relationships/hyperlink" Target="http://www.digikey.com/product-detail/en/yageo/RC0603JR-0710KL/311-10KGRCT-ND/729647" TargetMode="External"/><Relationship Id="rId187" Type="http://schemas.openxmlformats.org/officeDocument/2006/relationships/hyperlink" Target="http://www.newark.com/yageo/rc0603jr-0710kl/res-thick-film-10k-5-0-1w-0603/dp/68R0144" TargetMode="External"/><Relationship Id="rId188" Type="http://schemas.openxmlformats.org/officeDocument/2006/relationships/hyperlink" Target="http://www.digikey.com/product-detail/en/yageo/RC0603JR-0710KL/311-10KGRCT-ND/729647" TargetMode="External"/><Relationship Id="rId189" Type="http://schemas.openxmlformats.org/officeDocument/2006/relationships/hyperlink" Target="http://www.newark.com/yageo/rc0603jr-0710kl/res-thick-film-10k-5-0-1w-0603/dp/68R0144" TargetMode="External"/><Relationship Id="rId190" Type="http://schemas.openxmlformats.org/officeDocument/2006/relationships/hyperlink" Target="http://www.digikey.com/product-detail/en/yageo/RC0603JR-0710KL/311-10KGRCT-ND/729647" TargetMode="External"/><Relationship Id="rId191" Type="http://schemas.openxmlformats.org/officeDocument/2006/relationships/hyperlink" Target="http://www.newark.com/yageo/rc0603jr-0710kl/res-thick-film-10k-5-0-1w-0603/dp/68R0144" TargetMode="External"/><Relationship Id="rId192" Type="http://schemas.openxmlformats.org/officeDocument/2006/relationships/hyperlink" Target="http://www.digikey.com/product-detail/en/on-semiconductor/BAV199LT1G/BAV199LT1GOSCT-ND/917816" TargetMode="External"/><Relationship Id="rId193" Type="http://schemas.openxmlformats.org/officeDocument/2006/relationships/hyperlink" Target="http://www.newark.com/on-semiconductor/bav199lt1g/diode-switching-70v-sot-23/dp/98H0500" TargetMode="External"/><Relationship Id="rId194" Type="http://schemas.openxmlformats.org/officeDocument/2006/relationships/hyperlink" Target="http://www.digikey.com/product-detail/en/yageo/RC0603JR-0710KL/311-10KGRCT-ND/729647" TargetMode="External"/><Relationship Id="rId195" Type="http://schemas.openxmlformats.org/officeDocument/2006/relationships/hyperlink" Target="http://www.newark.com/yageo/rc0603jr-0710kl/res-thick-film-10k-5-0-1w-0603/dp/68R0144" TargetMode="External"/><Relationship Id="rId196" Type="http://schemas.openxmlformats.org/officeDocument/2006/relationships/hyperlink" Target="http://www.digikey.com/product-detail/en/panasonic-electronic-components/ERJ-8GEYJ332V/P3.3KECT-ND/203317" TargetMode="External"/><Relationship Id="rId197" Type="http://schemas.openxmlformats.org/officeDocument/2006/relationships/hyperlink" Target="http://www.newark.com/panasonic-electronic-components/erj-8geyj332v/res-thick-film-3k3-5-0-25w-1206/dp/65T8932" TargetMode="External"/><Relationship Id="rId198" Type="http://schemas.openxmlformats.org/officeDocument/2006/relationships/hyperlink" Target="http://www.digikey.com/product-detail/en/bourns-inc/MF-USMF110-2/MF-USMF110-2CT-ND/1014924" TargetMode="External"/><Relationship Id="rId199" Type="http://schemas.openxmlformats.org/officeDocument/2006/relationships/hyperlink" Target="http://www.newark.com/webapp/wcs/stores/servlet/Search?catalogId=15003&amp;langId=-1&amp;storeId=10194&amp;gs=true&amp;st=MF-USMF110-2%20" TargetMode="External"/><Relationship Id="rId200" Type="http://schemas.openxmlformats.org/officeDocument/2006/relationships/hyperlink" Target="http://www.digikey.com/product-detail/en/kemet/T491A106K006AT/399-3683-1-ND/819008" TargetMode="External"/><Relationship Id="rId201" Type="http://schemas.openxmlformats.org/officeDocument/2006/relationships/hyperlink" Target="http://www.newark.com/webapp/wcs/stores/servlet/Search?catalogId=15003&amp;langId=-1&amp;storeId=10194&amp;gs=true&amp;st=T491A106K006AT7280%20" TargetMode="External"/><Relationship Id="rId202" Type="http://schemas.openxmlformats.org/officeDocument/2006/relationships/hyperlink" Target="http://www.digikey.com/product-detail/en/kemet/T491A106K006AT/399-3683-1-ND/819008" TargetMode="External"/><Relationship Id="rId203" Type="http://schemas.openxmlformats.org/officeDocument/2006/relationships/hyperlink" Target="http://www.newark.com/kemet/t491a106k006at/tantalum-capacitor-10uf-6v-4-ohm/dp/57K1634" TargetMode="External"/><Relationship Id="rId204" Type="http://schemas.openxmlformats.org/officeDocument/2006/relationships/hyperlink" Target="http://www.digikey.com/product-detail/en/yageo/RC0603JR-074K7L/311-4.7KGRCT-ND/729732" TargetMode="External"/><Relationship Id="rId205" Type="http://schemas.openxmlformats.org/officeDocument/2006/relationships/hyperlink" Target="http://www.newark.com/yageo/rc0603jr-074k7l/res-thick-film-4k7-5-0-1w-0603/dp/68R0188" TargetMode="External"/><Relationship Id="rId206" Type="http://schemas.openxmlformats.org/officeDocument/2006/relationships/hyperlink" Target="http://www.digikey.com/product-detail/en/nxp-semiconductors/PRTR5V0U2X,215/568-4140-1-ND/1589981" TargetMode="External"/><Relationship Id="rId207" Type="http://schemas.openxmlformats.org/officeDocument/2006/relationships/hyperlink" Target="http://www.newark.com/nxp/prtr5v0u2x-215/tvs-diode/dp/75R4845" TargetMode="External"/><Relationship Id="rId208" Type="http://schemas.openxmlformats.org/officeDocument/2006/relationships/hyperlink" Target="http://www.digikey.com/product-detail/en/bourns-inc/SRF2012-900Y/SRF2012-900YTR-ND/1969675" TargetMode="External"/><Relationship Id="rId209" Type="http://schemas.openxmlformats.org/officeDocument/2006/relationships/hyperlink" Target="http://www.newark.com/webapp/wcs/stores/servlet/Search?catalogId=15003&amp;langId=-1&amp;storeId=10194&amp;gs=true&amp;st=SRF2012-900Y%20" TargetMode="External"/><Relationship Id="rId210" Type="http://schemas.openxmlformats.org/officeDocument/2006/relationships/hyperlink" Target="http://www.digikey.com/product-detail/en/yageo/RC0603JR-07270RL/311-270GRCT-ND/729696" TargetMode="External"/><Relationship Id="rId211" Type="http://schemas.openxmlformats.org/officeDocument/2006/relationships/hyperlink" Target="http://www.newark.com/yageo/rc0603jr-07270rl/res-thick-film-270r-5-0-1w-0603/dp/68R0174" TargetMode="External"/><Relationship Id="rId212" Type="http://schemas.openxmlformats.org/officeDocument/2006/relationships/hyperlink" Target="http://www.digikey.com/product-detail/en/on-semiconductor/BAV199LT1G/BAV199LT1GOSCT-ND/917816" TargetMode="External"/><Relationship Id="rId213" Type="http://schemas.openxmlformats.org/officeDocument/2006/relationships/hyperlink" Target="http://www.newark.com/on-semiconductor/bav199lt1g/diode-switching-70v-sot-23/dp/98H0500" TargetMode="External"/><Relationship Id="rId214" Type="http://schemas.openxmlformats.org/officeDocument/2006/relationships/hyperlink" Target="http://www.digikey.com/product-detail/en/on-semiconductor/LM358DG/LM358DGOS-ND/1476852" TargetMode="External"/><Relationship Id="rId215" Type="http://schemas.openxmlformats.org/officeDocument/2006/relationships/hyperlink" Target="http://www.newark.com/on-semiconductor/lm358dg/op-amp-1mhz-0-6v-us-soic-8/dp/45J0748" TargetMode="External"/><Relationship Id="rId216" Type="http://schemas.openxmlformats.org/officeDocument/2006/relationships/hyperlink" Target="http://www.digikey.com/product-detail/en/yageo/RC0603FR-0749R9L/311-49.9HRCT-ND/730211" TargetMode="External"/><Relationship Id="rId217" Type="http://schemas.openxmlformats.org/officeDocument/2006/relationships/hyperlink" Target="http://www.newark.com/yageo/rc0603fr-0749r9l/res-thick-film-49r9-1-0-1w-0603/dp/68R0100" TargetMode="External"/><Relationship Id="rId218" Type="http://schemas.openxmlformats.org/officeDocument/2006/relationships/hyperlink" Target="http://www.digikey.com/scripts/DkSearch/dksus.dll?WT.z_header=search_go&amp;lang=en&amp;keywords=OSTTC022162%20" TargetMode="External"/><Relationship Id="rId219" Type="http://schemas.openxmlformats.org/officeDocument/2006/relationships/hyperlink" Target="http://www.newark.com/webapp/wcs/stores/servlet/Search?catalogId=15003&amp;langId=-1&amp;storeId=10194&amp;gs=true&amp;st=OSTTC022162%20" TargetMode="External"/><Relationship Id="rId220" Type="http://schemas.openxmlformats.org/officeDocument/2006/relationships/hyperlink" Target="http://www.digikey.com/scripts/DkSearch/dksus.dll?WT.z_header=search_go&amp;lang=en&amp;keywords=%2006031A120CAT2A%20" TargetMode="External"/><Relationship Id="rId221" Type="http://schemas.openxmlformats.org/officeDocument/2006/relationships/hyperlink" Target="http://www.digikey.com/product-detail/en/nxp-semiconductors/PBSS5240XF/568-10522-1-ND/4386107" TargetMode="External"/><Relationship Id="rId222" Type="http://schemas.openxmlformats.org/officeDocument/2006/relationships/hyperlink" Target="http://www.newark.com/webapp/wcs/stores/servlet/Search?catalogId=15003&amp;langId=-1&amp;storeId=10194&amp;gs=true&amp;st=PBSS5240XF%20" TargetMode="External"/><Relationship Id="rId223" Type="http://schemas.openxmlformats.org/officeDocument/2006/relationships/hyperlink" Target="http://www.digikey.com/product-detail/en/microchip-technology/MIC2025-2YM/576-1058-ND/771527" TargetMode="External"/><Relationship Id="rId224" Type="http://schemas.openxmlformats.org/officeDocument/2006/relationships/hyperlink" Target="http://www.newark.com/webapp/wcs/stores/servlet/Search?catalogId=15003&amp;langId=-1&amp;storeId=10194&amp;gs=true&amp;st=MIC2025-2YM%20%20" TargetMode="External"/><Relationship Id="rId225" Type="http://schemas.openxmlformats.org/officeDocument/2006/relationships/hyperlink" Target="http://www.digikey.com/product-detail/en/yageo/RC0603FR-0712K1L/311-12.1KHRCT-ND/729862" TargetMode="External"/><Relationship Id="rId226" Type="http://schemas.openxmlformats.org/officeDocument/2006/relationships/hyperlink" Target="http://www.newark.com/yageo/rc0603fr-0712k1l/res-thick-film-12k1-1-0-1w-0603/dp/66R2021" TargetMode="External"/><Relationship Id="rId227" Type="http://schemas.openxmlformats.org/officeDocument/2006/relationships/hyperlink" Target="http://www.digikey.com/product-detail/en/ftdi-future-technology-devices-international-ltd/FT2232HL-REEL/768-1024-1-ND/1986057" TargetMode="External"/><Relationship Id="rId228" Type="http://schemas.openxmlformats.org/officeDocument/2006/relationships/hyperlink" Target="http://www.newark.com/webapp/wcs/stores/servlet/Search?catalogId=15003&amp;langId=-1&amp;storeId=10194&amp;gs=true&amp;st=FT2232HL-REEL%20" TargetMode="External"/><Relationship Id="rId229" Type="http://schemas.openxmlformats.org/officeDocument/2006/relationships/hyperlink" Target="http://www.digikey.com/product-detail/en/fairchild-semiconductor/NDS7002A/NDS7002ACT-ND/244296" TargetMode="External"/><Relationship Id="rId230" Type="http://schemas.openxmlformats.org/officeDocument/2006/relationships/hyperlink" Target="http://www.newark.com/fairchild-semiconductor/nds7002a/n-channel-mosfet-60v-280ma-sot/dp/58K9482" TargetMode="External"/><Relationship Id="rId231" Type="http://schemas.openxmlformats.org/officeDocument/2006/relationships/hyperlink" Target="http://www.digikey.com/product-detail/en/kemet/CBR02C120F3GAC/399-8604-1-ND/3479361" TargetMode="External"/><Relationship Id="rId232" Type="http://schemas.openxmlformats.org/officeDocument/2006/relationships/hyperlink" Target="http://www.newark.com/webapp/wcs/stores/servlet/Search?catalogId=15003&amp;langId=-1&amp;storeId=10194&amp;gs=true&amp;st=CBR02C120F3GAC%20%20" TargetMode="External"/><Relationship Id="rId233" Type="http://schemas.openxmlformats.org/officeDocument/2006/relationships/hyperlink" Target="http://www.digikey.com/product-detail/en/bourns-inc/MF-SM300-2/MF-SM300-2CT-ND/1232787" TargetMode="External"/><Relationship Id="rId234" Type="http://schemas.openxmlformats.org/officeDocument/2006/relationships/hyperlink" Target="http://www.newark.com/bourns/sm300-2/fuse-ptc-reset-6v-3a-smd/dp/75K7700" TargetMode="External"/><Relationship Id="rId235" Type="http://schemas.openxmlformats.org/officeDocument/2006/relationships/hyperlink" Target="http://www.digikey.com/product-detail/en/yageo/RC0603FR-0759RL/311-59.0HRCT-ND/730259" TargetMode="External"/><Relationship Id="rId236" Type="http://schemas.openxmlformats.org/officeDocument/2006/relationships/hyperlink" Target="http://www.newark.com/vishay/crcw060359r0fkea/res-thick-film-59r-1-0-1w-0603/dp/42K3971" TargetMode="External"/><Relationship Id="rId237" Type="http://schemas.openxmlformats.org/officeDocument/2006/relationships/hyperlink" Target="http://www.digikey.com/product-detail/en/yageo/RC0603JR-0733RL/311-33GRCT-ND/729718" TargetMode="External"/><Relationship Id="rId238" Type="http://schemas.openxmlformats.org/officeDocument/2006/relationships/hyperlink" Target="http://www.newark.com/yageo/rc0603jr-0733rl/res-thick-film-33r-5-0-1w-0603/dp/68R0182" TargetMode="External"/><Relationship Id="rId239" Type="http://schemas.openxmlformats.org/officeDocument/2006/relationships/hyperlink" Target="http://www.digikey.com/product-detail/en/yageo/RC0603JR-0733RL/311-33GRCT-ND/729718" TargetMode="External"/><Relationship Id="rId240" Type="http://schemas.openxmlformats.org/officeDocument/2006/relationships/hyperlink" Target="http://www.newark.com/yageo/rc0603jr-0733rl/res-thick-film-33r-5-0-1w-0603/dp/68R0182" TargetMode="External"/><Relationship Id="rId241" Type="http://schemas.openxmlformats.org/officeDocument/2006/relationships/hyperlink" Target="http://www.digikey.com/product-detail/en/tdk-corporation/MMZ1608B601CTAH0/445-2166-1-ND/765197" TargetMode="External"/><Relationship Id="rId242" Type="http://schemas.openxmlformats.org/officeDocument/2006/relationships/hyperlink" Target="http://www.newark.com/tdk/mmz1608b601ctah0/ferrite-bead-600-ohm-500ma-0603/dp/89R3077" TargetMode="External"/><Relationship Id="rId243" Type="http://schemas.openxmlformats.org/officeDocument/2006/relationships/hyperlink" Target="http://www.digikey.com/product-detail/en/tdk-corporation/MMZ1608B601CTAH0/445-2166-1-ND/765197" TargetMode="External"/><Relationship Id="rId244" Type="http://schemas.openxmlformats.org/officeDocument/2006/relationships/hyperlink" Target="http://www.newark.com/tdk/mmz1608b601ctah0/ferrite-bead-600-ohm-500ma-0603/dp/89R3077" TargetMode="External"/><Relationship Id="rId245" Type="http://schemas.openxmlformats.org/officeDocument/2006/relationships/hyperlink" Target="http://www.digikey.com/product-detail/en/tdk-corporation/MMZ1608B601CTAH0/445-2166-1-ND/765197" TargetMode="External"/><Relationship Id="rId246" Type="http://schemas.openxmlformats.org/officeDocument/2006/relationships/hyperlink" Target="http://www.newark.com/tdk/mmz1608b601ctah0/ferrite-bead-600-ohm-500ma-0603/dp/89R3077" TargetMode="External"/><Relationship Id="rId247" Type="http://schemas.openxmlformats.org/officeDocument/2006/relationships/hyperlink" Target="http://www.digikey.com/product-detail/en/yageo/RC0603JR-07100KL/311-100KGRCT-ND/729645" TargetMode="External"/><Relationship Id="rId248" Type="http://schemas.openxmlformats.org/officeDocument/2006/relationships/hyperlink" Target="http://www.newark.com/yageo/rc0603jr-07100kl/res-thick-film-100k-5-0-1w-0603/dp/68R0147" TargetMode="External"/><Relationship Id="rId249" Type="http://schemas.openxmlformats.org/officeDocument/2006/relationships/hyperlink" Target="http://www.digikey.com/product-detail/en/yageo/RC0603JR-07100KL/311-100KGRCT-ND/729645" TargetMode="External"/><Relationship Id="rId250" Type="http://schemas.openxmlformats.org/officeDocument/2006/relationships/hyperlink" Target="http://www.newark.com/yageo/rc0603jr-07100kl/res-thick-film-100k-5-0-1w-0603/dp/68R0147" TargetMode="External"/><Relationship Id="rId251" Type="http://schemas.openxmlformats.org/officeDocument/2006/relationships/hyperlink" Target="http://www.digikey.com/scripts/DkSearch/dksus.dll?WT.z_header=search_go&amp;lang=en&amp;keywords=PIC32MZ2048ECH144-I%2FPL%20" TargetMode="External"/><Relationship Id="rId252" Type="http://schemas.openxmlformats.org/officeDocument/2006/relationships/hyperlink" Target="http://www.newark.com/webapp/wcs/stores/servlet/Search?catalogId=15003&amp;langId=-1&amp;storeId=10194&amp;gs=true&amp;st=PIC32MZ2048ECH144-I%2FPL%20" TargetMode="External"/><Relationship Id="rId253" Type="http://schemas.openxmlformats.org/officeDocument/2006/relationships/hyperlink" Target="http://www.digikey.com/product-detail/en/bourns-inc/MF-MSMF110-2/MF-MSMF110-2CT-ND/662845" TargetMode="External"/><Relationship Id="rId254" Type="http://schemas.openxmlformats.org/officeDocument/2006/relationships/hyperlink" Target="http://www.newark.com/bourns/msmf110-2/fuse-ptc-reset-6v-1-1a-1812/dp/02J2721" TargetMode="External"/><Relationship Id="rId255" Type="http://schemas.openxmlformats.org/officeDocument/2006/relationships/hyperlink" Target="http://www.digikey.com/product-detail/en/yageo/RC0603JR-071KL/311-1.0KGRCT-ND/729624" TargetMode="External"/><Relationship Id="rId256" Type="http://schemas.openxmlformats.org/officeDocument/2006/relationships/hyperlink" Target="http://www.newark.com/yageo/rc0603jr-071kl/res-thick-film-1k-5-0-1w-0603/dp/68R0137" TargetMode="External"/><Relationship Id="rId257" Type="http://schemas.openxmlformats.org/officeDocument/2006/relationships/hyperlink" Target="http://www.digikey.com/product-detail/en/bourns-inc/MF-USMF020-2/MF-USMF020-2CT-ND/1014928" TargetMode="External"/><Relationship Id="rId258" Type="http://schemas.openxmlformats.org/officeDocument/2006/relationships/hyperlink" Target="http://www.newark.com/bourns/usmf020-2/fuse-ptc-reset-30v-200ma-1210/dp/88K5712" TargetMode="External"/><Relationship Id="rId259" Type="http://schemas.openxmlformats.org/officeDocument/2006/relationships/hyperlink" Target="http://www.digikey.com/product-detail/en/kemet/C0603C104K5RACTU/399-5089-1-ND/1465623" TargetMode="External"/><Relationship Id="rId260" Type="http://schemas.openxmlformats.org/officeDocument/2006/relationships/hyperlink" Target="http://www.newark.com/kemet/c0603c104k5ractu/ceramic-capacitor-0-1uf-50v-x7r/dp/72J5992" TargetMode="External"/><Relationship Id="rId261" Type="http://schemas.openxmlformats.org/officeDocument/2006/relationships/hyperlink" Target="http://www.digikey.com/product-detail/en/kemet/C0603C104K5RACTU/399-5089-1-ND/1465623" TargetMode="External"/><Relationship Id="rId262" Type="http://schemas.openxmlformats.org/officeDocument/2006/relationships/hyperlink" Target="http://www.newark.com/kemet/c0603c104k5ractu/ceramic-capacitor-0-1uf-50v-x7r/dp/72J5992" TargetMode="External"/><Relationship Id="rId263" Type="http://schemas.openxmlformats.org/officeDocument/2006/relationships/hyperlink" Target="http://www.digikey.com/product-detail/en/yageo/RC0603JR-07330RL/311-330GRCT-ND/729716" TargetMode="External"/><Relationship Id="rId264" Type="http://schemas.openxmlformats.org/officeDocument/2006/relationships/hyperlink" Target="http://www.newark.com/yageo/rc0603jr-07330rl/res-thick-film-330r-5-0-1w-0603/dp/68R0184" TargetMode="External"/><Relationship Id="rId265" Type="http://schemas.openxmlformats.org/officeDocument/2006/relationships/hyperlink" Target="http://www.digikey.com/product-detail/en/yageo/RC0603JR-070RL/311-0.0GRCT-ND/729622" TargetMode="External"/><Relationship Id="rId266" Type="http://schemas.openxmlformats.org/officeDocument/2006/relationships/hyperlink" Target="http://www.newark.com/yageo/rc0603jr-070rl/res-thick-film-0r-0-1w-0603/dp/68R0136" TargetMode="External"/><Relationship Id="rId267" Type="http://schemas.openxmlformats.org/officeDocument/2006/relationships/hyperlink" Target="http://www.digikey.com/product-detail/en/yageo/RC0603JR-070RL/311-0.0GRCT-ND/729622" TargetMode="External"/><Relationship Id="rId268" Type="http://schemas.openxmlformats.org/officeDocument/2006/relationships/hyperlink" Target="http://www.newark.com/yageo/rc0603jr-070rl/res-thick-film-0r-0-1w-0603/dp/68R0136" TargetMode="External"/><Relationship Id="rId269" Type="http://schemas.openxmlformats.org/officeDocument/2006/relationships/hyperlink" Target="http://www.digikey.com/product-detail/en/yageo/RC0603FR-079K31L/311-9.31KHRCT-ND/730367" TargetMode="External"/><Relationship Id="rId270" Type="http://schemas.openxmlformats.org/officeDocument/2006/relationships/hyperlink" Target="http://www.digikey.com/product-detail/en/fairchild-semiconductor/LL4148/LL4148FSCT-ND/1923118" TargetMode="External"/><Relationship Id="rId271" Type="http://schemas.openxmlformats.org/officeDocument/2006/relationships/hyperlink" Target="http://www.newark.com/fairchild-semiconductor/ll4148/diode-small-signal-100v-minimelf/dp/05W3302" TargetMode="External"/><Relationship Id="rId272" Type="http://schemas.openxmlformats.org/officeDocument/2006/relationships/hyperlink" Target="http://www.digikey.com/product-detail/en/bourns-inc/MF-MSMF030-2/MF-MSMF030-2CT-ND/662841" TargetMode="External"/><Relationship Id="rId273" Type="http://schemas.openxmlformats.org/officeDocument/2006/relationships/hyperlink" Target="http://www.newark.com/bourns/msmf030-2/fuse-ptc-reset-30v-300ma-1812/dp/02J2717" TargetMode="External"/><Relationship Id="rId274" Type="http://schemas.openxmlformats.org/officeDocument/2006/relationships/hyperlink" Target="http://www.digikey.com/product-detail/en/murata-electronics-north-america/BLM18BD470SN1D/490-5211-1-ND/1948387" TargetMode="External"/><Relationship Id="rId275" Type="http://schemas.openxmlformats.org/officeDocument/2006/relationships/hyperlink" Target="http://www.digikey.com/product-detail/en/kemet/C0603C103K5RACTU/399-1091-1-ND/411366" TargetMode="External"/><Relationship Id="rId276" Type="http://schemas.openxmlformats.org/officeDocument/2006/relationships/hyperlink" Target="http://www.newark.com/kemet/c0603c103k5ractu/ceramic-capacitor-0-01uf-50v-x7r/dp/30C5334" TargetMode="External"/><Relationship Id="rId277" Type="http://schemas.openxmlformats.org/officeDocument/2006/relationships/hyperlink" Target="http://www.digikey.com/product-detail/en/bourns-inc/SRN1060-470M/SRN1060-470MCT-ND/3821546" TargetMode="External"/><Relationship Id="rId278" Type="http://schemas.openxmlformats.org/officeDocument/2006/relationships/hyperlink" Target="http://www.newark.com/bourns/srn1060-470m/inductor-semi-shielded-47uh-2/dp/54W0036" TargetMode="External"/><Relationship Id="rId279" Type="http://schemas.openxmlformats.org/officeDocument/2006/relationships/hyperlink" Target="http://www.digikey.com/product-detail/en/abracon-llc/ASDMB-24.000MHZ-LC-T/535-11728-1-ND/2809937" TargetMode="External"/><Relationship Id="rId280" Type="http://schemas.openxmlformats.org/officeDocument/2006/relationships/hyperlink" Target="http://www.newark.com/webapp/wcs/stores/servlet/Search?catalogId=15003&amp;langId=-1&amp;storeId=10194&amp;gs=true&amp;st=ASDMB-24.000MHZ-LC-T%20" TargetMode="External"/><Relationship Id="rId281" Type="http://schemas.openxmlformats.org/officeDocument/2006/relationships/hyperlink" Target="http://www.digikey.com/scripts/DkSearch/dksus.dll?WT.z_header=search_go&amp;lang=en&amp;keywords=OSTTC032162%20" TargetMode="External"/><Relationship Id="rId282" Type="http://schemas.openxmlformats.org/officeDocument/2006/relationships/hyperlink" Target="http://www.newark.com/webapp/wcs/stores/servlet/Search?catalogId=15003&amp;langId=-1&amp;storeId=10194&amp;gs=true&amp;st=OSTTC032162%20" TargetMode="External"/><Relationship Id="rId283" Type="http://schemas.openxmlformats.org/officeDocument/2006/relationships/hyperlink" Target="http://www.digikey.com/product-detail/en/yageo/RC0603FR-0712K4L/311-12.4KHRCT-ND/729864" TargetMode="External"/><Relationship Id="rId284" Type="http://schemas.openxmlformats.org/officeDocument/2006/relationships/hyperlink" Target="http://www.digikey.com/product-detail/en/everlight-electronics-co-ltd/QTLP600C7TR/1080-1400-1-ND/2676134" TargetMode="External"/><Relationship Id="rId285" Type="http://schemas.openxmlformats.org/officeDocument/2006/relationships/hyperlink" Target="http://www.digikey.com/product-detail/en/everlight-electronics-co-ltd/QTLP600C7TR/1080-1400-1-ND/2676134" TargetMode="External"/><Relationship Id="rId286" Type="http://schemas.openxmlformats.org/officeDocument/2006/relationships/hyperlink" Target="http://www.digikey.com/product-detail/en/on-semiconductor/P6SMB20CAT3G/P6SMB20CAT3GOSCT-ND/3462457" TargetMode="External"/><Relationship Id="rId287" Type="http://schemas.openxmlformats.org/officeDocument/2006/relationships/hyperlink" Target="http://www.newark.com/on-semiconductor/p6smb20cat3g/tvs-diode-600w-20v-smb/dp/26K5157" TargetMode="External"/><Relationship Id="rId28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2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G9" activeCellId="0" sqref="G9"/>
    </sheetView>
  </sheetViews>
  <sheetFormatPr defaultRowHeight="13.8"/>
  <cols>
    <col collapsed="false" hidden="false" max="1" min="1" style="0" width="11.4696356275304"/>
    <col collapsed="false" hidden="false" max="2" min="2" style="1" width="17.7692307692308"/>
    <col collapsed="false" hidden="false" max="5" min="3" style="0" width="9.1417004048583"/>
    <col collapsed="false" hidden="false" max="6" min="6" style="1" width="21.2591093117409"/>
    <col collapsed="false" hidden="false" max="8" min="7" style="0" width="9.1417004048583"/>
    <col collapsed="false" hidden="false" max="9" min="9" style="0" width="10.3481781376518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4" min="14" style="0" width="12.17004048583"/>
    <col collapsed="false" hidden="false" max="15" min="15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1025" min="28" style="0" width="8.5748987854251"/>
  </cols>
  <sheetData>
    <row r="1" customFormat="false" ht="16.15" hidden="false" customHeight="false" outlineLevel="0" collapsed="false">
      <c r="H1" s="2" t="s">
        <v>0</v>
      </c>
      <c r="I1" s="2" t="n">
        <v>5</v>
      </c>
    </row>
    <row r="2" customFormat="false" ht="16.15" hidden="false" customHeight="false" outlineLevel="0" collapsed="false">
      <c r="H2" s="3" t="s">
        <v>1</v>
      </c>
      <c r="I2" s="4" t="n">
        <f aca="false">SUM(I7:I165)</f>
        <v>586.5015</v>
      </c>
      <c r="M2" s="4" t="n">
        <f aca="false">SUM(M7:M165)</f>
        <v>595.8865</v>
      </c>
      <c r="S2" s="4" t="n">
        <f aca="false">SUM(S7:S165)</f>
        <v>52.58</v>
      </c>
      <c r="Y2" s="4" t="n">
        <f aca="false">SUM(Y7:Y165)</f>
        <v>474.21</v>
      </c>
    </row>
    <row r="3" customFormat="false" ht="16.15" hidden="false" customHeight="false" outlineLevel="0" collapsed="false">
      <c r="H3" s="3" t="s">
        <v>2</v>
      </c>
      <c r="I3" s="5" t="n">
        <f aca="false">TotalCost/BoardQty</f>
        <v>117.3003</v>
      </c>
    </row>
    <row r="5" customFormat="false" ht="17.35" hidden="false" customHeight="false" outlineLevel="0" collapsed="false">
      <c r="A5" s="6" t="s">
        <v>3</v>
      </c>
      <c r="B5" s="6"/>
      <c r="C5" s="6"/>
      <c r="D5" s="6"/>
      <c r="E5" s="6"/>
      <c r="F5" s="6"/>
      <c r="G5" s="6"/>
      <c r="H5" s="6"/>
      <c r="I5" s="6"/>
      <c r="J5" s="7" t="s">
        <v>4</v>
      </c>
      <c r="K5" s="7"/>
      <c r="L5" s="7"/>
      <c r="M5" s="7"/>
      <c r="N5" s="7"/>
      <c r="O5" s="7"/>
      <c r="P5" s="8" t="s">
        <v>5</v>
      </c>
      <c r="Q5" s="8"/>
      <c r="R5" s="8"/>
      <c r="S5" s="8"/>
      <c r="T5" s="8"/>
      <c r="U5" s="8"/>
      <c r="V5" s="9" t="s">
        <v>6</v>
      </c>
      <c r="W5" s="9"/>
      <c r="X5" s="9"/>
      <c r="Y5" s="9"/>
      <c r="Z5" s="9"/>
      <c r="AA5" s="9"/>
    </row>
    <row r="6" customFormat="false" ht="29.85" hidden="false" customHeight="false" outlineLevel="0" collapsed="false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14</v>
      </c>
      <c r="M6" s="10" t="s">
        <v>15</v>
      </c>
      <c r="N6" s="10" t="s">
        <v>18</v>
      </c>
      <c r="O6" s="10" t="s">
        <v>19</v>
      </c>
      <c r="P6" s="10" t="s">
        <v>16</v>
      </c>
      <c r="Q6" s="10" t="s">
        <v>17</v>
      </c>
      <c r="R6" s="10" t="s">
        <v>14</v>
      </c>
      <c r="S6" s="10" t="s">
        <v>15</v>
      </c>
      <c r="T6" s="10" t="s">
        <v>18</v>
      </c>
      <c r="U6" s="10" t="s">
        <v>19</v>
      </c>
      <c r="V6" s="10" t="s">
        <v>16</v>
      </c>
      <c r="W6" s="10" t="s">
        <v>17</v>
      </c>
      <c r="X6" s="10" t="s">
        <v>14</v>
      </c>
      <c r="Y6" s="10" t="s">
        <v>15</v>
      </c>
      <c r="Z6" s="10" t="s">
        <v>18</v>
      </c>
      <c r="AA6" s="10" t="s">
        <v>19</v>
      </c>
    </row>
    <row r="7" customFormat="false" ht="14.9" hidden="false" customHeight="false" outlineLevel="0" collapsed="false">
      <c r="A7" s="0" t="s">
        <v>20</v>
      </c>
      <c r="B7" s="1" t="s">
        <v>21</v>
      </c>
      <c r="D7" s="0" t="s">
        <v>22</v>
      </c>
      <c r="F7" s="1" t="s">
        <v>23</v>
      </c>
      <c r="G7" s="0" t="n">
        <f aca="false">BoardQty*8</f>
        <v>40</v>
      </c>
      <c r="H7" s="11" t="n">
        <f aca="true">MINA(INDIRECT(ADDRESS(ROW(),COLUMN(newark_part_data)+2)),INDIRECT(ADDRESS(ROW(),COLUMN(digikey_part_data)+2)),INDIRECT(ADDRESS(ROW(),COLUMN(mouser_part_data)+2)))</f>
        <v>0.007</v>
      </c>
      <c r="I7" s="11" t="n">
        <f aca="false">IFERROR(G7*H7,"")</f>
        <v>0.28</v>
      </c>
      <c r="J7" s="0" t="n">
        <v>2594840</v>
      </c>
      <c r="L7" s="11" t="n">
        <f aca="false">IFERROR(LOOKUP(IF(K7="",G7,K7),{0,1,10,25,100,250,500,1000,2500,5000,10000,25000,50000,125000},{0,0.1,0.011,0.008,0.0044,0.00336,0.0027,0.00198,0.00172,0.00129,0.00112,0.00099,0.0009,0.00089}),"")</f>
        <v>0.008</v>
      </c>
      <c r="M7" s="11" t="n">
        <f aca="false">IFERROR(IF(K7="",G7,K7)*L7,"")</f>
        <v>0.32</v>
      </c>
      <c r="N7" s="0" t="s">
        <v>24</v>
      </c>
      <c r="O7" s="12" t="s">
        <v>25</v>
      </c>
      <c r="P7" s="0" t="n">
        <v>163296</v>
      </c>
      <c r="R7" s="11" t="n">
        <f aca="false">IFERROR(LOOKUP(IF(Q7="",G7,Q7),{0,1,10,100,1000,5000,50000},{0,0.099,0.008,0.003,0.002,0.002,0.001}),"")</f>
        <v>0.008</v>
      </c>
      <c r="S7" s="11" t="n">
        <f aca="false">IFERROR(IF(Q7="",G7,Q7)*R7,"")</f>
        <v>0.32</v>
      </c>
      <c r="T7" s="0" t="s">
        <v>26</v>
      </c>
      <c r="U7" s="12" t="s">
        <v>25</v>
      </c>
      <c r="V7" s="0" t="n">
        <v>9500</v>
      </c>
      <c r="X7" s="11" t="n">
        <f aca="false">IFERROR(LOOKUP(IF(W7="",G7,W7),{0,1,10,25,100,250,1000},{0,0.06,0.01,0.007,0.004,0.003,0.002}),"")</f>
        <v>0.007</v>
      </c>
      <c r="Y7" s="11" t="n">
        <f aca="false">IFERROR(IF(W7="",G7,W7)*X7,"")</f>
        <v>0.28</v>
      </c>
      <c r="Z7" s="0" t="s">
        <v>27</v>
      </c>
      <c r="AA7" s="12" t="s">
        <v>25</v>
      </c>
    </row>
    <row r="8" customFormat="false" ht="14.9" hidden="false" customHeight="false" outlineLevel="0" collapsed="false">
      <c r="A8" s="0" t="s">
        <v>28</v>
      </c>
      <c r="B8" s="1" t="s">
        <v>29</v>
      </c>
      <c r="D8" s="0" t="s">
        <v>30</v>
      </c>
      <c r="F8" s="1" t="s">
        <v>31</v>
      </c>
      <c r="G8" s="0" t="n">
        <f aca="false">BoardQty*1</f>
        <v>5</v>
      </c>
      <c r="H8" s="11" t="n">
        <f aca="true">MINA(INDIRECT(ADDRESS(ROW(),COLUMN(newark_part_data)+2)),INDIRECT(ADDRESS(ROW(),COLUMN(digikey_part_data)+2)),INDIRECT(ADDRESS(ROW(),COLUMN(mouser_part_data)+2)))</f>
        <v>0.97</v>
      </c>
      <c r="I8" s="11" t="n">
        <f aca="false">IFERROR(G8*H8,"")</f>
        <v>4.85</v>
      </c>
      <c r="J8" s="0" t="n">
        <v>1041</v>
      </c>
      <c r="L8" s="11" t="n">
        <f aca="false">IFERROR(LOOKUP(IF(K8="",G8,K8),{0,1,10,100,500,1000,2500,5000,12500,25000,62500},{0,0.97,0.866,0.6755,0.5586,0.44175,0.399,0.37905,0.3648,0.3534,0.342}),"")</f>
        <v>0.97</v>
      </c>
      <c r="M8" s="11" t="n">
        <f aca="false">IFERROR(IF(K8="",G8,K8)*L8,"")</f>
        <v>4.85</v>
      </c>
      <c r="N8" s="0" t="s">
        <v>32</v>
      </c>
      <c r="O8" s="12" t="s">
        <v>25</v>
      </c>
    </row>
    <row r="9" customFormat="false" ht="14.9" hidden="false" customHeight="false" outlineLevel="0" collapsed="false">
      <c r="A9" s="0" t="s">
        <v>33</v>
      </c>
      <c r="B9" s="1" t="s">
        <v>34</v>
      </c>
      <c r="D9" s="0" t="s">
        <v>35</v>
      </c>
      <c r="F9" s="1" t="s">
        <v>36</v>
      </c>
      <c r="G9" s="0" t="n">
        <f aca="false">BoardQty*1</f>
        <v>5</v>
      </c>
      <c r="H9" s="11" t="n">
        <f aca="true">MINA(INDIRECT(ADDRESS(ROW(),COLUMN(newark_part_data)+2)),INDIRECT(ADDRESS(ROW(),COLUMN(digikey_part_data)+2)),INDIRECT(ADDRESS(ROW(),COLUMN(mouser_part_data)+2)))</f>
        <v>2.1</v>
      </c>
      <c r="I9" s="11" t="n">
        <f aca="false">IFERROR(G9*H9,"")</f>
        <v>10.5</v>
      </c>
      <c r="J9" s="0" t="n">
        <v>109</v>
      </c>
      <c r="L9" s="11" t="n">
        <f aca="false">IFERROR(LOOKUP(IF(K9="",G9,K9),{0,1,25,100,3300},{0,2.1,2.02,1.94,1.94}),"")</f>
        <v>2.1</v>
      </c>
      <c r="M9" s="11" t="n">
        <f aca="false">IFERROR(IF(K9="",G9,K9)*L9,"")</f>
        <v>10.5</v>
      </c>
      <c r="N9" s="0" t="s">
        <v>37</v>
      </c>
      <c r="O9" s="12" t="s">
        <v>25</v>
      </c>
      <c r="P9" s="0" t="n">
        <v>200</v>
      </c>
      <c r="R9" s="11" t="n">
        <f aca="false">IFERROR(LOOKUP(IF(Q9="",G9,Q9),{0,1,10,25,100},{0,2.49,2.07,1.99,1.92}),"")</f>
        <v>2.49</v>
      </c>
      <c r="S9" s="11" t="n">
        <f aca="false">IFERROR(IF(Q9="",G9,Q9)*R9,"")</f>
        <v>12.45</v>
      </c>
      <c r="T9" s="0" t="s">
        <v>38</v>
      </c>
      <c r="U9" s="12" t="s">
        <v>25</v>
      </c>
      <c r="V9" s="0" t="n">
        <v>76</v>
      </c>
      <c r="X9" s="11" t="n">
        <f aca="false">IFERROR(LOOKUP(IF(W9="",G9,W9),{0,1,10,25,50,100},{0,2.64,2.42,2.39,2.34,2.32}),"")</f>
        <v>2.64</v>
      </c>
      <c r="Y9" s="11" t="n">
        <f aca="false">IFERROR(IF(W9="",G9,W9)*X9,"")</f>
        <v>13.2</v>
      </c>
      <c r="Z9" s="0" t="s">
        <v>39</v>
      </c>
      <c r="AA9" s="12" t="s">
        <v>25</v>
      </c>
    </row>
    <row r="10" customFormat="false" ht="14.9" hidden="false" customHeight="false" outlineLevel="0" collapsed="false">
      <c r="A10" s="0" t="s">
        <v>40</v>
      </c>
      <c r="B10" s="1" t="s">
        <v>41</v>
      </c>
      <c r="D10" s="0" t="s">
        <v>35</v>
      </c>
      <c r="F10" s="1" t="s">
        <v>42</v>
      </c>
      <c r="G10" s="0" t="n">
        <f aca="false">BoardQty*1</f>
        <v>5</v>
      </c>
      <c r="H10" s="11" t="n">
        <f aca="true">MINA(INDIRECT(ADDRESS(ROW(),COLUMN(newark_part_data)+2)),INDIRECT(ADDRESS(ROW(),COLUMN(digikey_part_data)+2)),INDIRECT(ADDRESS(ROW(),COLUMN(mouser_part_data)+2)))</f>
        <v>0.212</v>
      </c>
      <c r="I10" s="11" t="n">
        <f aca="false">IFERROR(G10*H10,"")</f>
        <v>1.06</v>
      </c>
      <c r="J10" s="0" t="n">
        <v>12667</v>
      </c>
      <c r="L10" s="11" t="n">
        <f aca="false">IFERROR(LOOKUP(IF(K10="",G10,K10),{0,1,25,100,3300},{0,0.22,0.21,0.2,0.2}),"")</f>
        <v>0.22</v>
      </c>
      <c r="M10" s="11" t="n">
        <f aca="false">IFERROR(IF(K10="",G10,K10)*L10,"")</f>
        <v>1.1</v>
      </c>
      <c r="N10" s="0" t="s">
        <v>43</v>
      </c>
      <c r="O10" s="12" t="s">
        <v>25</v>
      </c>
      <c r="V10" s="0" t="n">
        <v>1695</v>
      </c>
      <c r="X10" s="11" t="n">
        <f aca="false">IFERROR(LOOKUP(IF(W10="",G10,W10),{0,1},{0,0.212}),"")</f>
        <v>0.212</v>
      </c>
      <c r="Y10" s="11" t="n">
        <f aca="false">IFERROR(IF(W10="",G10,W10)*X10,"")</f>
        <v>1.06</v>
      </c>
      <c r="Z10" s="0" t="s">
        <v>44</v>
      </c>
      <c r="AA10" s="12" t="s">
        <v>25</v>
      </c>
    </row>
    <row r="11" customFormat="false" ht="14.9" hidden="false" customHeight="false" outlineLevel="0" collapsed="false">
      <c r="A11" s="0" t="s">
        <v>45</v>
      </c>
      <c r="B11" s="1" t="s">
        <v>46</v>
      </c>
      <c r="D11" s="0" t="s">
        <v>47</v>
      </c>
      <c r="F11" s="1" t="s">
        <v>48</v>
      </c>
      <c r="G11" s="0" t="n">
        <f aca="false">BoardQty*1</f>
        <v>5</v>
      </c>
      <c r="H11" s="11" t="n">
        <f aca="true">MINA(INDIRECT(ADDRESS(ROW(),COLUMN(newark_part_data)+2)),INDIRECT(ADDRESS(ROW(),COLUMN(digikey_part_data)+2)),INDIRECT(ADDRESS(ROW(),COLUMN(mouser_part_data)+2)))</f>
        <v>1.91</v>
      </c>
      <c r="I11" s="11" t="n">
        <f aca="false">IFERROR(G11*H11,"")</f>
        <v>9.55</v>
      </c>
      <c r="J11" s="0" t="n">
        <v>2005</v>
      </c>
      <c r="L11" s="11" t="n">
        <f aca="false">IFERROR(LOOKUP(IF(K11="",G11,K11),{0,1,25,100,2500},{0,1.91,1.59,1.44,1.44}),"")</f>
        <v>1.91</v>
      </c>
      <c r="M11" s="11" t="n">
        <f aca="false">IFERROR(IF(K11="",G11,K11)*L11,"")</f>
        <v>9.55</v>
      </c>
      <c r="N11" s="0" t="s">
        <v>49</v>
      </c>
      <c r="O11" s="12" t="s">
        <v>25</v>
      </c>
      <c r="P11" s="0" t="n">
        <v>428</v>
      </c>
      <c r="R11" s="11" t="n">
        <f aca="false">IFERROR(LOOKUP(IF(Q11="",G11,Q11),{0,1,10,25,100},{0,2.05,1.89,1.57,1.42}),"")</f>
        <v>2.05</v>
      </c>
      <c r="S11" s="11" t="n">
        <f aca="false">IFERROR(IF(Q11="",G11,Q11)*R11,"")</f>
        <v>10.25</v>
      </c>
      <c r="T11" s="0" t="s">
        <v>50</v>
      </c>
      <c r="U11" s="12" t="s">
        <v>25</v>
      </c>
      <c r="V11" s="0" t="n">
        <v>368</v>
      </c>
      <c r="X11" s="11" t="n">
        <f aca="false">IFERROR(LOOKUP(IF(W11="",G11,W11),{0,1,10,25,50,100},{0,2.48,1.92,1.84,1.78,1.73}),"")</f>
        <v>2.48</v>
      </c>
      <c r="Y11" s="11" t="n">
        <f aca="false">IFERROR(IF(W11="",G11,W11)*X11,"")</f>
        <v>12.4</v>
      </c>
      <c r="Z11" s="0" t="s">
        <v>51</v>
      </c>
      <c r="AA11" s="12" t="s">
        <v>25</v>
      </c>
    </row>
    <row r="12" customFormat="false" ht="14.9" hidden="false" customHeight="false" outlineLevel="0" collapsed="false">
      <c r="A12" s="0" t="s">
        <v>52</v>
      </c>
      <c r="B12" s="1" t="s">
        <v>53</v>
      </c>
      <c r="D12" s="0" t="s">
        <v>54</v>
      </c>
      <c r="F12" s="1" t="s">
        <v>55</v>
      </c>
      <c r="G12" s="0" t="n">
        <f aca="false">BoardQty*1</f>
        <v>5</v>
      </c>
      <c r="H12" s="11" t="n">
        <f aca="true">MINA(INDIRECT(ADDRESS(ROW(),COLUMN(newark_part_data)+2)),INDIRECT(ADDRESS(ROW(),COLUMN(digikey_part_data)+2)),INDIRECT(ADDRESS(ROW(),COLUMN(mouser_part_data)+2)))</f>
        <v>0.74</v>
      </c>
      <c r="I12" s="11" t="n">
        <f aca="false">IFERROR(G12*H12,"")</f>
        <v>3.7</v>
      </c>
      <c r="J12" s="0" t="n">
        <v>1041</v>
      </c>
      <c r="L12" s="11" t="n">
        <f aca="false">IFERROR(LOOKUP(IF(K12="",G12,K12),{0,1,10,25,50,100,250,500,1000,2500,5000,12500,25000,50000},{0,0.74,0.711,0.504,0.4244,0.3448,0.28648,0.2122,0.18037,0.16976,0.15915,0.14589,0.14324,0.13793}),"")</f>
        <v>0.74</v>
      </c>
      <c r="M12" s="11" t="n">
        <f aca="false">IFERROR(IF(K12="",G12,K12)*L12,"")</f>
        <v>3.7</v>
      </c>
      <c r="N12" s="0" t="s">
        <v>56</v>
      </c>
      <c r="O12" s="12" t="s">
        <v>25</v>
      </c>
      <c r="AA12" s="12" t="s">
        <v>25</v>
      </c>
    </row>
    <row r="13" customFormat="false" ht="14.9" hidden="false" customHeight="false" outlineLevel="0" collapsed="false">
      <c r="A13" s="0" t="s">
        <v>57</v>
      </c>
      <c r="B13" s="1" t="s">
        <v>58</v>
      </c>
      <c r="D13" s="0" t="s">
        <v>59</v>
      </c>
      <c r="F13" s="1" t="s">
        <v>60</v>
      </c>
      <c r="G13" s="0" t="n">
        <f aca="false">BoardQty*1</f>
        <v>5</v>
      </c>
      <c r="H13" s="11" t="n">
        <f aca="true">MINA(INDIRECT(ADDRESS(ROW(),COLUMN(newark_part_data)+2)),INDIRECT(ADDRESS(ROW(),COLUMN(digikey_part_data)+2)),INDIRECT(ADDRESS(ROW(),COLUMN(mouser_part_data)+2)))</f>
        <v>0</v>
      </c>
      <c r="I13" s="11" t="n">
        <f aca="false">IFERROR(G13*H13,"")</f>
        <v>0</v>
      </c>
      <c r="O13" s="12" t="s">
        <v>25</v>
      </c>
    </row>
    <row r="14" customFormat="false" ht="14.9" hidden="false" customHeight="false" outlineLevel="0" collapsed="false">
      <c r="A14" s="0" t="s">
        <v>61</v>
      </c>
      <c r="B14" s="1" t="s">
        <v>62</v>
      </c>
      <c r="D14" s="0" t="s">
        <v>63</v>
      </c>
      <c r="F14" s="1" t="s">
        <v>64</v>
      </c>
      <c r="G14" s="0" t="n">
        <f aca="false">BoardQty*1</f>
        <v>5</v>
      </c>
      <c r="H14" s="11" t="n">
        <f aca="true">MINA(INDIRECT(ADDRESS(ROW(),COLUMN(newark_part_data)+2)),INDIRECT(ADDRESS(ROW(),COLUMN(digikey_part_data)+2)),INDIRECT(ADDRESS(ROW(),COLUMN(mouser_part_data)+2)))</f>
        <v>0.43</v>
      </c>
      <c r="I14" s="11" t="n">
        <f aca="false">IFERROR(G14*H14,"")</f>
        <v>2.15</v>
      </c>
      <c r="J14" s="0" t="n">
        <v>13479</v>
      </c>
      <c r="L14" s="11" t="n">
        <f aca="false">IFERROR(LOOKUP(IF(K14="",G14,K14),{0,1,10,25,50,100,250,500,1000,4000,8000,12000,28000,100000},{0,0.43,0.328,0.2496,0.1854,0.1378,0.11644,0.0998,0.07603,0.072,0.0648,0.06336,0.0612,0.05942}),"")</f>
        <v>0.43</v>
      </c>
      <c r="M14" s="11" t="n">
        <f aca="false">IFERROR(IF(K14="",G14,K14)*L14,"")</f>
        <v>2.15</v>
      </c>
      <c r="N14" s="0" t="s">
        <v>65</v>
      </c>
      <c r="O14" s="12" t="s">
        <v>25</v>
      </c>
      <c r="P14" s="0" t="n">
        <v>6499</v>
      </c>
      <c r="R14" s="11" t="n">
        <f aca="false">IFERROR(LOOKUP(IF(Q14="",G14,Q14),{0,1,10,100,500,1000,4000,8000,24000,48000},{0,0.444,0.191,0.12,0.102,0.078,0.074,0.065,0.063,0.062}),"")</f>
        <v>0.444</v>
      </c>
      <c r="S14" s="11" t="n">
        <f aca="false">IFERROR(IF(Q14="",G14,Q14)*R14,"")</f>
        <v>2.22</v>
      </c>
      <c r="T14" s="0" t="s">
        <v>66</v>
      </c>
      <c r="U14" s="12" t="s">
        <v>25</v>
      </c>
      <c r="AA14" s="12" t="s">
        <v>25</v>
      </c>
    </row>
    <row r="15" customFormat="false" ht="14.9" hidden="false" customHeight="false" outlineLevel="0" collapsed="false">
      <c r="A15" s="0" t="s">
        <v>67</v>
      </c>
      <c r="B15" s="1" t="s">
        <v>68</v>
      </c>
      <c r="D15" s="0" t="s">
        <v>69</v>
      </c>
      <c r="F15" s="1" t="s">
        <v>70</v>
      </c>
      <c r="G15" s="0" t="n">
        <f aca="false">BoardQty*3</f>
        <v>15</v>
      </c>
      <c r="H15" s="11" t="n">
        <f aca="true">MINA(INDIRECT(ADDRESS(ROW(),COLUMN(newark_part_data)+2)),INDIRECT(ADDRESS(ROW(),COLUMN(digikey_part_data)+2)),INDIRECT(ADDRESS(ROW(),COLUMN(mouser_part_data)+2)))</f>
        <v>0.202</v>
      </c>
      <c r="I15" s="11" t="n">
        <f aca="false">IFERROR(G15*H15,"")</f>
        <v>3.03</v>
      </c>
      <c r="J15" s="0" t="n">
        <v>56370</v>
      </c>
      <c r="L15" s="11" t="n">
        <f aca="false">IFERROR(LOOKUP(IF(K15="",G15,K15),{0,1,10,50,100,250,500,1000,2000,4000,9000,10000,14000,18000,27000,50000,63000,100000,225000},{0,0.35,0.308,0.187,0.154,0.1232,0.1122,0.1012,0.0792,0.0748,0.064,0.0704,0.0682,0.062,0.06,0.0616,0.056,0.0572,0.052}),"")</f>
        <v>0.308</v>
      </c>
      <c r="M15" s="11" t="n">
        <f aca="false">IFERROR(IF(K15="",G15,K15)*L15,"")</f>
        <v>4.62</v>
      </c>
      <c r="N15" s="0" t="s">
        <v>71</v>
      </c>
      <c r="O15" s="12" t="s">
        <v>25</v>
      </c>
      <c r="P15" s="0" t="n">
        <v>16247</v>
      </c>
      <c r="R15" s="11" t="n">
        <f aca="false">IFERROR(LOOKUP(IF(Q15="",G15,Q15),{0,1,10,100,500,1000,5000,9000,18000,45000},{0,0.346,0.202,0.121,0.11,0.087,0.073,0.068,0.064,0.058}),"")</f>
        <v>0.202</v>
      </c>
      <c r="S15" s="11" t="n">
        <f aca="false">IFERROR(IF(Q15="",G15,Q15)*R15,"")</f>
        <v>3.03</v>
      </c>
      <c r="T15" s="0" t="s">
        <v>72</v>
      </c>
      <c r="U15" s="12" t="s">
        <v>25</v>
      </c>
      <c r="AA15" s="12" t="s">
        <v>25</v>
      </c>
    </row>
    <row r="16" customFormat="false" ht="14.9" hidden="false" customHeight="false" outlineLevel="0" collapsed="false">
      <c r="A16" s="0" t="s">
        <v>73</v>
      </c>
      <c r="B16" s="1" t="s">
        <v>68</v>
      </c>
      <c r="D16" s="0" t="s">
        <v>69</v>
      </c>
      <c r="F16" s="1" t="s">
        <v>74</v>
      </c>
      <c r="G16" s="0" t="n">
        <f aca="false">BoardQty*1</f>
        <v>5</v>
      </c>
      <c r="H16" s="11" t="n">
        <f aca="true">MINA(INDIRECT(ADDRESS(ROW(),COLUMN(newark_part_data)+2)),INDIRECT(ADDRESS(ROW(),COLUMN(digikey_part_data)+2)),INDIRECT(ADDRESS(ROW(),COLUMN(mouser_part_data)+2)))</f>
        <v>0.252</v>
      </c>
      <c r="I16" s="11" t="n">
        <f aca="false">IFERROR(G16*H16,"")</f>
        <v>1.26</v>
      </c>
      <c r="J16" s="0" t="n">
        <v>56370</v>
      </c>
      <c r="L16" s="11" t="n">
        <f aca="false">IFERROR(LOOKUP(IF(K16="",G16,K16),{0,1,10,50,100,250,500,1000,2000,4000,9000,10000,14000,18000,27000,50000,63000,100000,225000},{0,0.35,0.308,0.187,0.154,0.1232,0.1122,0.1012,0.0792,0.0748,0.064,0.0704,0.0682,0.062,0.06,0.0616,0.056,0.0572,0.052}),"")</f>
        <v>0.35</v>
      </c>
      <c r="M16" s="11" t="n">
        <f aca="false">IFERROR(IF(K16="",G16,K16)*L16,"")</f>
        <v>1.75</v>
      </c>
      <c r="N16" s="0" t="s">
        <v>71</v>
      </c>
      <c r="O16" s="12" t="s">
        <v>25</v>
      </c>
      <c r="V16" s="0" t="n">
        <v>1652</v>
      </c>
      <c r="X16" s="11" t="n">
        <f aca="false">IFERROR(LOOKUP(IF(W16="",G16,W16),{0,1,10,25,50,100,250,1000},{0,0.252,0.219,0.155,0.132,0.109,0.087,0.07}),"")</f>
        <v>0.252</v>
      </c>
      <c r="Y16" s="11" t="n">
        <f aca="false">IFERROR(IF(W16="",G16,W16)*X16,"")</f>
        <v>1.26</v>
      </c>
      <c r="Z16" s="0" t="s">
        <v>75</v>
      </c>
      <c r="AA16" s="12" t="s">
        <v>25</v>
      </c>
    </row>
    <row r="17" customFormat="false" ht="14.9" hidden="false" customHeight="false" outlineLevel="0" collapsed="false">
      <c r="A17" s="0" t="s">
        <v>76</v>
      </c>
      <c r="B17" s="1" t="s">
        <v>77</v>
      </c>
      <c r="D17" s="0" t="s">
        <v>22</v>
      </c>
      <c r="F17" s="1" t="s">
        <v>78</v>
      </c>
      <c r="G17" s="0" t="n">
        <f aca="false">BoardQty*8</f>
        <v>40</v>
      </c>
      <c r="H17" s="11" t="n">
        <f aca="true">MINA(INDIRECT(ADDRESS(ROW(),COLUMN(newark_part_data)+2)),INDIRECT(ADDRESS(ROW(),COLUMN(digikey_part_data)+2)),INDIRECT(ADDRESS(ROW(),COLUMN(mouser_part_data)+2)))</f>
        <v>0.008</v>
      </c>
      <c r="I17" s="11" t="n">
        <f aca="false">IFERROR(G17*H17,"")</f>
        <v>0.32</v>
      </c>
      <c r="J17" s="0" t="n">
        <v>1858418</v>
      </c>
      <c r="L17" s="11" t="n">
        <f aca="false">IFERROR(LOOKUP(IF(K17="",G17,K17),{0,1,10,25,100,250,500,1000,2500,5000,10000,25000,50000,125000},{0,0.1,0.011,0.008,0.0044,0.00336,0.0027,0.00198,0.00172,0.00129,0.00112,0.00099,0.0009,0.00089}),"")</f>
        <v>0.008</v>
      </c>
      <c r="M17" s="11" t="n">
        <f aca="false">IFERROR(IF(K17="",G17,K17)*L17,"")</f>
        <v>0.32</v>
      </c>
      <c r="N17" s="0" t="s">
        <v>78</v>
      </c>
      <c r="O17" s="12" t="s">
        <v>25</v>
      </c>
    </row>
    <row r="18" customFormat="false" ht="14.9" hidden="false" customHeight="false" outlineLevel="0" collapsed="false">
      <c r="A18" s="0" t="s">
        <v>79</v>
      </c>
      <c r="B18" s="1" t="s">
        <v>77</v>
      </c>
      <c r="D18" s="0" t="s">
        <v>22</v>
      </c>
      <c r="F18" s="1" t="s">
        <v>80</v>
      </c>
      <c r="G18" s="0" t="n">
        <f aca="false">BoardQty*2</f>
        <v>10</v>
      </c>
      <c r="H18" s="11" t="n">
        <f aca="true">MINA(INDIRECT(ADDRESS(ROW(),COLUMN(newark_part_data)+2)),INDIRECT(ADDRESS(ROW(),COLUMN(digikey_part_data)+2)),INDIRECT(ADDRESS(ROW(),COLUMN(mouser_part_data)+2)))</f>
        <v>0.008</v>
      </c>
      <c r="I18" s="11" t="n">
        <f aca="false">IFERROR(G18*H18,"")</f>
        <v>0.08</v>
      </c>
      <c r="J18" s="0" t="n">
        <v>1858418</v>
      </c>
      <c r="L18" s="11" t="n">
        <f aca="false">IFERROR(LOOKUP(IF(K18="",G18,K18),{0,1,10,25,100,250,500,1000,2500,5000,10000,25000,50000,125000},{0,0.1,0.011,0.008,0.0044,0.00336,0.0027,0.00198,0.00172,0.00129,0.00112,0.00099,0.0009,0.00089}),"")</f>
        <v>0.011</v>
      </c>
      <c r="M18" s="11" t="n">
        <f aca="false">IFERROR(IF(K18="",G18,K18)*L18,"")</f>
        <v>0.11</v>
      </c>
      <c r="N18" s="0" t="s">
        <v>78</v>
      </c>
      <c r="O18" s="12" t="s">
        <v>25</v>
      </c>
      <c r="P18" s="0" t="n">
        <v>35574</v>
      </c>
      <c r="R18" s="11" t="n">
        <f aca="false">IFERROR(LOOKUP(IF(Q18="",G18,Q18),{0,1,10,100,1000,5000,50000},{0,0.099,0.008,0.003,0.002,0.002,0.001}),"")</f>
        <v>0.008</v>
      </c>
      <c r="S18" s="11" t="n">
        <f aca="false">IFERROR(IF(Q18="",G18,Q18)*R18,"")</f>
        <v>0.08</v>
      </c>
      <c r="T18" s="0" t="s">
        <v>81</v>
      </c>
      <c r="U18" s="12" t="s">
        <v>25</v>
      </c>
      <c r="V18" s="0" t="n">
        <v>23913</v>
      </c>
      <c r="X18" s="11" t="n">
        <f aca="false">IFERROR(LOOKUP(IF(W18="",G18,W18),{0,1,10,25,100,250,1000},{0,0.009,0.009,0.008,0.005,0.004,0.003}),"")</f>
        <v>0.009</v>
      </c>
      <c r="Y18" s="11" t="n">
        <f aca="false">IFERROR(IF(W18="",G18,W18)*X18,"")</f>
        <v>0.09</v>
      </c>
      <c r="Z18" s="0" t="s">
        <v>82</v>
      </c>
      <c r="AA18" s="12" t="s">
        <v>25</v>
      </c>
    </row>
    <row r="19" customFormat="false" ht="14.9" hidden="false" customHeight="false" outlineLevel="0" collapsed="false">
      <c r="A19" s="0" t="s">
        <v>83</v>
      </c>
      <c r="B19" s="1" t="s">
        <v>84</v>
      </c>
      <c r="D19" s="0" t="s">
        <v>85</v>
      </c>
      <c r="F19" s="1" t="s">
        <v>84</v>
      </c>
      <c r="G19" s="0" t="n">
        <f aca="false">BoardQty*1</f>
        <v>5</v>
      </c>
      <c r="H19" s="11" t="n">
        <f aca="true">MINA(INDIRECT(ADDRESS(ROW(),COLUMN(newark_part_data)+2)),INDIRECT(ADDRESS(ROW(),COLUMN(digikey_part_data)+2)),INDIRECT(ADDRESS(ROW(),COLUMN(mouser_part_data)+2)))</f>
        <v>0.46</v>
      </c>
      <c r="I19" s="11" t="n">
        <f aca="false">IFERROR(G19*H19,"")</f>
        <v>2.3</v>
      </c>
      <c r="J19" s="0" t="n">
        <v>13948</v>
      </c>
      <c r="L19" s="11" t="n">
        <f aca="false">IFERROR(LOOKUP(IF(K19="",G19,K19),{0,1,10,100,500,1000,4000,8000,12000,28000,100000,200000},{0,0.46,0.392,0.2925,0.22972,0.1771,0.15686,0.14674,0.13662,0.12954,0.12448,0.12144}),"")</f>
        <v>0.46</v>
      </c>
      <c r="M19" s="11" t="n">
        <f aca="false">IFERROR(IF(K19="",G19,K19)*L19,"")</f>
        <v>2.3</v>
      </c>
      <c r="N19" s="0" t="s">
        <v>86</v>
      </c>
      <c r="O19" s="12" t="s">
        <v>25</v>
      </c>
      <c r="V19" s="0" t="n">
        <v>480</v>
      </c>
      <c r="X19" s="11" t="n">
        <f aca="false">IFERROR(LOOKUP(IF(W19="",G19,W19),{0,1,10,100,1000},{0,0.484,0.366,0.23,0.172}),"")</f>
        <v>0.484</v>
      </c>
      <c r="Y19" s="11" t="n">
        <f aca="false">IFERROR(IF(W19="",G19,W19)*X19,"")</f>
        <v>2.42</v>
      </c>
      <c r="Z19" s="0" t="s">
        <v>87</v>
      </c>
      <c r="AA19" s="12" t="s">
        <v>25</v>
      </c>
    </row>
    <row r="20" customFormat="false" ht="14.9" hidden="false" customHeight="false" outlineLevel="0" collapsed="false">
      <c r="A20" s="0" t="s">
        <v>88</v>
      </c>
      <c r="B20" s="1" t="s">
        <v>89</v>
      </c>
      <c r="D20" s="0" t="s">
        <v>90</v>
      </c>
      <c r="F20" s="1" t="s">
        <v>91</v>
      </c>
      <c r="G20" s="0" t="n">
        <f aca="false">BoardQty*2</f>
        <v>10</v>
      </c>
      <c r="H20" s="11" t="n">
        <f aca="true">MINA(INDIRECT(ADDRESS(ROW(),COLUMN(newark_part_data)+2)),INDIRECT(ADDRESS(ROW(),COLUMN(digikey_part_data)+2)),INDIRECT(ADDRESS(ROW(),COLUMN(mouser_part_data)+2)))</f>
        <v>0.042</v>
      </c>
      <c r="I20" s="11" t="n">
        <f aca="false">IFERROR(G20*H20,"")</f>
        <v>0.42</v>
      </c>
      <c r="J20" s="0" t="n">
        <v>124759</v>
      </c>
      <c r="L20" s="11" t="n">
        <f aca="false">IFERROR(LOOKUP(IF(K20="",G20,K20),{0,1,10,50,100,250,500,1000,4000,8000,12000,28000,100000},{0,0.1,0.075,0.0614,0.045,0.03272,0.03,0.02592,0.01984,0.01798,0.01736,0.01612,0.01593}),"")</f>
        <v>0.075</v>
      </c>
      <c r="M20" s="11" t="n">
        <f aca="false">IFERROR(IF(K20="",G20,K20)*L20,"")</f>
        <v>0.75</v>
      </c>
      <c r="N20" s="0" t="s">
        <v>92</v>
      </c>
      <c r="O20" s="12" t="s">
        <v>25</v>
      </c>
      <c r="P20" s="0" t="n">
        <v>12254</v>
      </c>
      <c r="R20" s="11" t="n">
        <f aca="false">IFERROR(LOOKUP(IF(Q20="",G20,Q20),{0,1,10,100,500,1000,4000},{0,0.099,0.06,0.032,0.029,0.025,0.019}),"")</f>
        <v>0.06</v>
      </c>
      <c r="S20" s="11" t="n">
        <f aca="false">IFERROR(IF(Q20="",G20,Q20)*R20,"")</f>
        <v>0.6</v>
      </c>
      <c r="T20" s="0" t="s">
        <v>93</v>
      </c>
      <c r="U20" s="12" t="s">
        <v>25</v>
      </c>
      <c r="V20" s="0" t="n">
        <v>15439</v>
      </c>
      <c r="X20" s="11" t="n">
        <f aca="false">IFERROR(LOOKUP(IF(W20="",G20,W20),{0,1,50,100,500,1000,2500,5000,10000},{0,0.042,0.036,0.03,0.027,0.024,0.02,0.018,0.017}),"")</f>
        <v>0.042</v>
      </c>
      <c r="Y20" s="11" t="n">
        <f aca="false">IFERROR(IF(W20="",G20,W20)*X20,"")</f>
        <v>0.42</v>
      </c>
      <c r="Z20" s="0" t="s">
        <v>94</v>
      </c>
      <c r="AA20" s="12" t="s">
        <v>25</v>
      </c>
    </row>
    <row r="21" customFormat="false" ht="14.9" hidden="false" customHeight="false" outlineLevel="0" collapsed="false">
      <c r="A21" s="0" t="s">
        <v>95</v>
      </c>
      <c r="B21" s="1" t="s">
        <v>89</v>
      </c>
      <c r="D21" s="0" t="s">
        <v>90</v>
      </c>
      <c r="F21" s="1" t="s">
        <v>96</v>
      </c>
      <c r="G21" s="0" t="n">
        <f aca="false">BoardQty*2</f>
        <v>10</v>
      </c>
      <c r="H21" s="11" t="n">
        <f aca="true">MINA(INDIRECT(ADDRESS(ROW(),COLUMN(newark_part_data)+2)),INDIRECT(ADDRESS(ROW(),COLUMN(digikey_part_data)+2)),INDIRECT(ADDRESS(ROW(),COLUMN(mouser_part_data)+2)))</f>
        <v>0.042</v>
      </c>
      <c r="I21" s="11" t="n">
        <f aca="false">IFERROR(G21*H21,"")</f>
        <v>0.42</v>
      </c>
      <c r="J21" s="0" t="n">
        <v>124759</v>
      </c>
      <c r="L21" s="11" t="n">
        <f aca="false">IFERROR(LOOKUP(IF(K21="",G21,K21),{0,1,10,50,100,250,500,1000,4000,8000,12000,28000,100000},{0,0.1,0.075,0.0614,0.045,0.03272,0.03,0.02592,0.01984,0.01798,0.01736,0.01612,0.01593}),"")</f>
        <v>0.075</v>
      </c>
      <c r="M21" s="11" t="n">
        <f aca="false">IFERROR(IF(K21="",G21,K21)*L21,"")</f>
        <v>0.75</v>
      </c>
      <c r="N21" s="0" t="s">
        <v>92</v>
      </c>
      <c r="O21" s="12" t="s">
        <v>25</v>
      </c>
      <c r="P21" s="0" t="n">
        <v>12254</v>
      </c>
      <c r="R21" s="11" t="n">
        <f aca="false">IFERROR(LOOKUP(IF(Q21="",G21,Q21),{0,1,10,100,500,1000,4000},{0,0.099,0.06,0.032,0.029,0.025,0.019}),"")</f>
        <v>0.06</v>
      </c>
      <c r="S21" s="11" t="n">
        <f aca="false">IFERROR(IF(Q21="",G21,Q21)*R21,"")</f>
        <v>0.6</v>
      </c>
      <c r="T21" s="0" t="s">
        <v>93</v>
      </c>
      <c r="U21" s="12" t="s">
        <v>25</v>
      </c>
      <c r="V21" s="0" t="n">
        <v>15439</v>
      </c>
      <c r="X21" s="11" t="n">
        <f aca="false">IFERROR(LOOKUP(IF(W21="",G21,W21),{0,1,50,100,500,1000,2500,5000,10000},{0,0.042,0.036,0.03,0.027,0.024,0.02,0.018,0.017}),"")</f>
        <v>0.042</v>
      </c>
      <c r="Y21" s="11" t="n">
        <f aca="false">IFERROR(IF(W21="",G21,W21)*X21,"")</f>
        <v>0.42</v>
      </c>
      <c r="Z21" s="0" t="s">
        <v>94</v>
      </c>
      <c r="AA21" s="12" t="s">
        <v>25</v>
      </c>
    </row>
    <row r="22" customFormat="false" ht="14.9" hidden="false" customHeight="false" outlineLevel="0" collapsed="false">
      <c r="A22" s="0" t="s">
        <v>97</v>
      </c>
      <c r="B22" s="1" t="s">
        <v>98</v>
      </c>
      <c r="D22" s="0" t="s">
        <v>85</v>
      </c>
      <c r="F22" s="1" t="s">
        <v>99</v>
      </c>
      <c r="G22" s="0" t="n">
        <f aca="false">BoardQty*4</f>
        <v>20</v>
      </c>
      <c r="H22" s="11" t="n">
        <f aca="true">MINA(INDIRECT(ADDRESS(ROW(),COLUMN(newark_part_data)+2)),INDIRECT(ADDRESS(ROW(),COLUMN(digikey_part_data)+2)),INDIRECT(ADDRESS(ROW(),COLUMN(mouser_part_data)+2)))</f>
        <v>0.532</v>
      </c>
      <c r="I22" s="11" t="n">
        <f aca="false">IFERROR(G22*H22,"")</f>
        <v>10.64</v>
      </c>
      <c r="J22" s="0" t="n">
        <v>10040</v>
      </c>
      <c r="L22" s="11" t="n">
        <f aca="false">IFERROR(LOOKUP(IF(K22="",G22,K22),{0,1,10,100,500,1000,4000,8000,12000,28000,100000,200000},{0,0.67,0.573,0.4277,0.33596,0.259,0.2294,0.2146,0.1998,0.18944,0.18204,0.1776}),"")</f>
        <v>0.573</v>
      </c>
      <c r="M22" s="11" t="n">
        <f aca="false">IFERROR(IF(K22="",G22,K22)*L22,"")</f>
        <v>11.46</v>
      </c>
      <c r="N22" s="0" t="s">
        <v>100</v>
      </c>
      <c r="O22" s="12" t="s">
        <v>25</v>
      </c>
      <c r="P22" s="0" t="n">
        <v>6401</v>
      </c>
      <c r="R22" s="11" t="n">
        <f aca="false">IFERROR(LOOKUP(IF(Q22="",G22,Q22),{0,1,10,100,1000,4000,8000,24000},{0,0.638,0.532,0.325,0.251,0.215,0.198,0.19}),"")</f>
        <v>0.532</v>
      </c>
      <c r="S22" s="11" t="n">
        <f aca="false">IFERROR(IF(Q22="",G22,Q22)*R22,"")</f>
        <v>10.64</v>
      </c>
      <c r="T22" s="0" t="s">
        <v>101</v>
      </c>
      <c r="U22" s="12" t="s">
        <v>25</v>
      </c>
      <c r="V22" s="0" t="n">
        <v>1951</v>
      </c>
      <c r="X22" s="11" t="n">
        <f aca="false">IFERROR(LOOKUP(IF(W22="",G22,W22),{0,1,250,500,1000,5000},{0,0.64,0.483,0.431,0.388,0.352}),"")</f>
        <v>0.64</v>
      </c>
      <c r="Y22" s="11" t="n">
        <f aca="false">IFERROR(IF(W22="",G22,W22)*X22,"")</f>
        <v>12.8</v>
      </c>
      <c r="Z22" s="0" t="s">
        <v>102</v>
      </c>
      <c r="AA22" s="12" t="s">
        <v>25</v>
      </c>
    </row>
    <row r="23" customFormat="false" ht="14.9" hidden="false" customHeight="false" outlineLevel="0" collapsed="false">
      <c r="A23" s="0" t="s">
        <v>103</v>
      </c>
      <c r="B23" s="1" t="s">
        <v>104</v>
      </c>
      <c r="D23" s="0" t="s">
        <v>22</v>
      </c>
      <c r="F23" s="1" t="s">
        <v>105</v>
      </c>
      <c r="G23" s="0" t="n">
        <f aca="false">BoardQty*1</f>
        <v>5</v>
      </c>
      <c r="H23" s="11" t="n">
        <f aca="true">MINA(INDIRECT(ADDRESS(ROW(),COLUMN(newark_part_data)+2)),INDIRECT(ADDRESS(ROW(),COLUMN(digikey_part_data)+2)),INDIRECT(ADDRESS(ROW(),COLUMN(mouser_part_data)+2)))</f>
        <v>0.63</v>
      </c>
      <c r="I23" s="11" t="n">
        <f aca="false">IFERROR(G23*H23,"")</f>
        <v>3.15</v>
      </c>
      <c r="J23" s="0" t="n">
        <v>74048</v>
      </c>
      <c r="L23" s="11" t="n">
        <f aca="false">IFERROR(LOOKUP(IF(K23="",G23,K23),{0,1,50,100,250,500,1000,5000,10000,25000,50000,125000},{0,0.63,0.2494,0.1924,0.14964,0.10546,0.07695,0.04275,0.0399,0.03791,0.03714,0.03634}),"")</f>
        <v>0.63</v>
      </c>
      <c r="M23" s="11" t="n">
        <f aca="false">IFERROR(IF(K23="",G23,K23)*L23,"")</f>
        <v>3.15</v>
      </c>
      <c r="N23" s="0" t="s">
        <v>106</v>
      </c>
      <c r="O23" s="12" t="s">
        <v>25</v>
      </c>
      <c r="V23" s="0" t="n">
        <v>2958</v>
      </c>
      <c r="X23" s="11" t="n">
        <f aca="false">IFERROR(LOOKUP(IF(W23="",G23,W23),{0,1,50,100,250,500,1000},{0,0.631,0.249,0.192,0.149,0.105,0.077}),"")</f>
        <v>0.631</v>
      </c>
      <c r="Y23" s="11" t="n">
        <f aca="false">IFERROR(IF(W23="",G23,W23)*X23,"")</f>
        <v>3.155</v>
      </c>
      <c r="Z23" s="0" t="s">
        <v>107</v>
      </c>
      <c r="AA23" s="12" t="s">
        <v>25</v>
      </c>
    </row>
    <row r="24" customFormat="false" ht="14.9" hidden="false" customHeight="false" outlineLevel="0" collapsed="false">
      <c r="A24" s="0" t="s">
        <v>108</v>
      </c>
      <c r="B24" s="1" t="s">
        <v>109</v>
      </c>
      <c r="D24" s="0" t="s">
        <v>110</v>
      </c>
      <c r="F24" s="1" t="s">
        <v>111</v>
      </c>
      <c r="G24" s="0" t="n">
        <f aca="false">BoardQty*5</f>
        <v>25</v>
      </c>
      <c r="H24" s="11" t="n">
        <f aca="true">MINA(INDIRECT(ADDRESS(ROW(),COLUMN(newark_part_data)+2)),INDIRECT(ADDRESS(ROW(),COLUMN(digikey_part_data)+2)),INDIRECT(ADDRESS(ROW(),COLUMN(mouser_part_data)+2)))</f>
        <v>0.029</v>
      </c>
      <c r="I24" s="11" t="n">
        <f aca="false">IFERROR(G24*H24,"")</f>
        <v>0.725</v>
      </c>
      <c r="J24" s="0" t="n">
        <v>121719</v>
      </c>
      <c r="L24" s="11" t="n">
        <f aca="false">IFERROR(LOOKUP(IF(K24="",G24,K24),{0,1,10,50,100,250,500,1000,4000,8000,12000,28000,100000},{0,0.1,0.043,0.0234,0.0198,0.0162,0.01386,0.0108,0.00828,0.00756,0.0072,0.00684,0.00495}),"")</f>
        <v>0.043</v>
      </c>
      <c r="M24" s="11" t="n">
        <f aca="false">IFERROR(IF(K24="",G24,K24)*L24,"")</f>
        <v>1.075</v>
      </c>
      <c r="N24" s="0" t="s">
        <v>112</v>
      </c>
      <c r="O24" s="12" t="s">
        <v>25</v>
      </c>
      <c r="V24" s="0" t="n">
        <v>4165</v>
      </c>
      <c r="X24" s="11" t="n">
        <f aca="false">IFERROR(LOOKUP(IF(W24="",G24,W24),{0,1,10,50,100,250,500,1000},{0,0.095,0.029,0.017,0.014,0.011,0.01,0.007}),"")</f>
        <v>0.029</v>
      </c>
      <c r="Y24" s="11" t="n">
        <f aca="false">IFERROR(IF(W24="",G24,W24)*X24,"")</f>
        <v>0.725</v>
      </c>
      <c r="Z24" s="0" t="s">
        <v>113</v>
      </c>
      <c r="AA24" s="12" t="s">
        <v>25</v>
      </c>
    </row>
    <row r="25" customFormat="false" ht="14.9" hidden="false" customHeight="false" outlineLevel="0" collapsed="false">
      <c r="A25" s="0" t="s">
        <v>114</v>
      </c>
      <c r="B25" s="1" t="s">
        <v>115</v>
      </c>
      <c r="F25" s="1" t="s">
        <v>116</v>
      </c>
      <c r="G25" s="0" t="n">
        <f aca="false">BoardQty*2</f>
        <v>10</v>
      </c>
      <c r="H25" s="11" t="n">
        <f aca="true">MINA(INDIRECT(ADDRESS(ROW(),COLUMN(newark_part_data)+2)),INDIRECT(ADDRESS(ROW(),COLUMN(digikey_part_data)+2)),INDIRECT(ADDRESS(ROW(),COLUMN(mouser_part_data)+2)))</f>
        <v>0.048</v>
      </c>
      <c r="I25" s="11" t="n">
        <f aca="false">IFERROR(G25*H25,"")</f>
        <v>0.48</v>
      </c>
      <c r="J25" s="0" t="n">
        <v>70040</v>
      </c>
      <c r="L25" s="11" t="n">
        <f aca="false">IFERROR(LOOKUP(IF(K25="",G25,K25),{0,1,10,25,50,100,500,1000,4000,8000,12000,28000,100000},{0,0.1,0.048,0.034,0.0262,0.0221,0.01548,0.01206,0.00925,0.00844,0.00804,0.00764,0.00553}),"")</f>
        <v>0.048</v>
      </c>
      <c r="M25" s="11" t="n">
        <f aca="false">IFERROR(IF(K25="",G25,K25)*L25,"")</f>
        <v>0.48</v>
      </c>
      <c r="N25" s="0" t="s">
        <v>117</v>
      </c>
      <c r="O25" s="12" t="s">
        <v>25</v>
      </c>
    </row>
    <row r="26" customFormat="false" ht="13.8" hidden="false" customHeight="false" outlineLevel="0" collapsed="false">
      <c r="A26" s="0" t="s">
        <v>118</v>
      </c>
      <c r="B26" s="1" t="s">
        <v>119</v>
      </c>
      <c r="D26" s="0" t="s">
        <v>120</v>
      </c>
      <c r="G26" s="0" t="n">
        <f aca="false">BoardQty*4</f>
        <v>20</v>
      </c>
      <c r="H26" s="11" t="n">
        <f aca="true">MINA(INDIRECT(ADDRESS(ROW(),COLUMN(newark_part_data)+2)),INDIRECT(ADDRESS(ROW(),COLUMN(digikey_part_data)+2)),INDIRECT(ADDRESS(ROW(),COLUMN(mouser_part_data)+2)))</f>
        <v>0</v>
      </c>
      <c r="I26" s="11" t="n">
        <f aca="false">IFERROR(G26*H26,"")</f>
        <v>0</v>
      </c>
    </row>
    <row r="27" customFormat="false" ht="14.9" hidden="false" customHeight="false" outlineLevel="0" collapsed="false">
      <c r="A27" s="0" t="s">
        <v>121</v>
      </c>
      <c r="B27" s="1" t="s">
        <v>122</v>
      </c>
      <c r="D27" s="0" t="s">
        <v>90</v>
      </c>
      <c r="F27" s="1" t="s">
        <v>123</v>
      </c>
      <c r="G27" s="0" t="n">
        <f aca="false">BoardQty*1</f>
        <v>5</v>
      </c>
      <c r="H27" s="11" t="n">
        <f aca="true">MINA(INDIRECT(ADDRESS(ROW(),COLUMN(newark_part_data)+2)),INDIRECT(ADDRESS(ROW(),COLUMN(digikey_part_data)+2)),INDIRECT(ADDRESS(ROW(),COLUMN(mouser_part_data)+2)))</f>
        <v>0.1</v>
      </c>
      <c r="I27" s="11" t="n">
        <f aca="false">IFERROR(G27*H27,"")</f>
        <v>0.5</v>
      </c>
      <c r="J27" s="0" t="n">
        <v>23474</v>
      </c>
      <c r="L27" s="11" t="n">
        <f aca="false">IFERROR(LOOKUP(IF(K27="",G27,K27),{0,1,10,25,50,100,250,500,1000,4000,8000},{0,0.1,0.062,0.0568,0.051,0.0375,0.02724,0.02498,0.02157,0.01651,0.015}),"")</f>
        <v>0.1</v>
      </c>
      <c r="M27" s="11" t="n">
        <f aca="false">IFERROR(IF(K27="",G27,K27)*L27,"")</f>
        <v>0.5</v>
      </c>
      <c r="N27" s="0" t="s">
        <v>124</v>
      </c>
      <c r="O27" s="12" t="s">
        <v>25</v>
      </c>
      <c r="AA27" s="12" t="s">
        <v>25</v>
      </c>
    </row>
    <row r="28" customFormat="false" ht="14.9" hidden="false" customHeight="false" outlineLevel="0" collapsed="false">
      <c r="A28" s="0" t="s">
        <v>125</v>
      </c>
      <c r="B28" s="1" t="s">
        <v>126</v>
      </c>
      <c r="D28" s="0" t="s">
        <v>127</v>
      </c>
      <c r="F28" s="1" t="s">
        <v>128</v>
      </c>
      <c r="G28" s="0" t="n">
        <f aca="false">BoardQty*2</f>
        <v>10</v>
      </c>
      <c r="H28" s="11" t="n">
        <f aca="true">MINA(INDIRECT(ADDRESS(ROW(),COLUMN(newark_part_data)+2)),INDIRECT(ADDRESS(ROW(),COLUMN(digikey_part_data)+2)),INDIRECT(ADDRESS(ROW(),COLUMN(mouser_part_data)+2)))</f>
        <v>0.048</v>
      </c>
      <c r="I28" s="11" t="n">
        <f aca="false">IFERROR(G28*H28,"")</f>
        <v>0.48</v>
      </c>
      <c r="J28" s="0" t="n">
        <v>14158</v>
      </c>
      <c r="L28" s="11" t="n">
        <f aca="false">IFERROR(LOOKUP(IF(K28="",G28,K28),{0,1,10,50,100,250,500,1000,4000,8000,12000,28000,100000},{0,0.1,0.048,0.026,0.022,0.018,0.0154,0.012,0.0092,0.0084,0.008,0.0076,0.0055}),"")</f>
        <v>0.048</v>
      </c>
      <c r="M28" s="11" t="n">
        <f aca="false">IFERROR(IF(K28="",G28,K28)*L28,"")</f>
        <v>0.48</v>
      </c>
      <c r="N28" s="0" t="s">
        <v>129</v>
      </c>
      <c r="O28" s="12" t="s">
        <v>25</v>
      </c>
      <c r="AA28" s="12" t="s">
        <v>25</v>
      </c>
    </row>
    <row r="29" customFormat="false" ht="14.9" hidden="false" customHeight="false" outlineLevel="0" collapsed="false">
      <c r="A29" s="0" t="s">
        <v>130</v>
      </c>
      <c r="B29" s="1" t="s">
        <v>131</v>
      </c>
      <c r="D29" s="0" t="s">
        <v>22</v>
      </c>
      <c r="F29" s="1" t="s">
        <v>132</v>
      </c>
      <c r="G29" s="0" t="n">
        <f aca="false">BoardQty*3</f>
        <v>15</v>
      </c>
      <c r="H29" s="11" t="n">
        <f aca="true">MINA(INDIRECT(ADDRESS(ROW(),COLUMN(newark_part_data)+2)),INDIRECT(ADDRESS(ROW(),COLUMN(digikey_part_data)+2)),INDIRECT(ADDRESS(ROW(),COLUMN(mouser_part_data)+2)))</f>
        <v>0.01</v>
      </c>
      <c r="I29" s="11" t="n">
        <f aca="false">IFERROR(G29*H29,"")</f>
        <v>0.15</v>
      </c>
      <c r="J29" s="0" t="n">
        <v>627056</v>
      </c>
      <c r="L29" s="11" t="n">
        <f aca="false">IFERROR(LOOKUP(IF(K29="",G29,K29),{0,1,10,25,100,250,500,1000,2500,5000,10000,25000,50000,125000},{0,0.1,0.011,0.008,0.0044,0.00336,0.0027,0.00198,0.00172,0.00129,0.00112,0.00099,0.0009,0.00089}),"")</f>
        <v>0.011</v>
      </c>
      <c r="M29" s="11" t="n">
        <f aca="false">IFERROR(IF(K29="",G29,K29)*L29,"")</f>
        <v>0.165</v>
      </c>
      <c r="N29" s="0" t="s">
        <v>133</v>
      </c>
      <c r="O29" s="12" t="s">
        <v>25</v>
      </c>
      <c r="V29" s="0" t="n">
        <v>7553</v>
      </c>
      <c r="X29" s="11" t="n">
        <f aca="false">IFERROR(LOOKUP(IF(W29="",G29,W29),{0,1,10,25,100,250,1000},{0,0.06,0.01,0.007,0.004,0.003,0.002}),"")</f>
        <v>0.01</v>
      </c>
      <c r="Y29" s="11" t="n">
        <f aca="false">IFERROR(IF(W29="",G29,W29)*X29,"")</f>
        <v>0.15</v>
      </c>
      <c r="Z29" s="0" t="s">
        <v>134</v>
      </c>
      <c r="AA29" s="12" t="s">
        <v>25</v>
      </c>
    </row>
    <row r="30" customFormat="false" ht="14.9" hidden="false" customHeight="false" outlineLevel="0" collapsed="false">
      <c r="A30" s="0" t="s">
        <v>135</v>
      </c>
      <c r="B30" s="1" t="s">
        <v>136</v>
      </c>
      <c r="D30" s="0" t="s">
        <v>137</v>
      </c>
      <c r="F30" s="1" t="s">
        <v>136</v>
      </c>
      <c r="G30" s="0" t="n">
        <f aca="false">BoardQty*1</f>
        <v>5</v>
      </c>
      <c r="H30" s="11" t="n">
        <f aca="true">MINA(INDIRECT(ADDRESS(ROW(),COLUMN(newark_part_data)+2)),INDIRECT(ADDRESS(ROW(),COLUMN(digikey_part_data)+2)),INDIRECT(ADDRESS(ROW(),COLUMN(mouser_part_data)+2)))</f>
        <v>0.29</v>
      </c>
      <c r="I30" s="11" t="n">
        <f aca="false">IFERROR(G30*H30,"")</f>
        <v>1.45</v>
      </c>
      <c r="J30" s="0" t="n">
        <v>11475</v>
      </c>
      <c r="L30" s="11" t="n">
        <f aca="false">IFERROR(LOOKUP(IF(K30="",G30,K30),{0,1,10,25,50,100,250,500,1000,3000,6000,15000},{0,0.29,0.273,0.252,0.2432,0.2264,0.2016,0.168,0.1592,0.128,0.12,0.112}),"")</f>
        <v>0.29</v>
      </c>
      <c r="M30" s="11" t="n">
        <f aca="false">IFERROR(IF(K30="",G30,K30)*L30,"")</f>
        <v>1.45</v>
      </c>
      <c r="N30" s="0" t="s">
        <v>138</v>
      </c>
      <c r="O30" s="12" t="s">
        <v>25</v>
      </c>
      <c r="P30" s="0" t="n">
        <v>12664</v>
      </c>
      <c r="R30" s="11" t="n">
        <f aca="false">IFERROR(LOOKUP(IF(Q30="",G30,Q30),{0,1,10,100,250,500,1000,3000,6000,9000},{0,0.3,0.251,0.233,0.207,0.173,0.165,0.132,0.124,0.116}),"")</f>
        <v>0.3</v>
      </c>
      <c r="S30" s="11" t="n">
        <f aca="false">IFERROR(IF(Q30="",G30,Q30)*R30,"")</f>
        <v>1.5</v>
      </c>
      <c r="T30" s="0" t="s">
        <v>139</v>
      </c>
      <c r="U30" s="12" t="s">
        <v>25</v>
      </c>
      <c r="V30" s="0" t="n">
        <v>10831</v>
      </c>
      <c r="X30" s="11" t="n">
        <f aca="false">IFERROR(LOOKUP(IF(W30="",G30,W30),{0,1,10,100,250,500,1000},{0,0.386,0.268,0.214,0.196,0.191,0.148}),"")</f>
        <v>0.386</v>
      </c>
      <c r="Y30" s="11" t="n">
        <f aca="false">IFERROR(IF(W30="",G30,W30)*X30,"")</f>
        <v>1.93</v>
      </c>
      <c r="Z30" s="0" t="s">
        <v>140</v>
      </c>
      <c r="AA30" s="12" t="s">
        <v>25</v>
      </c>
    </row>
    <row r="31" customFormat="false" ht="14.9" hidden="false" customHeight="false" outlineLevel="0" collapsed="false">
      <c r="A31" s="0" t="s">
        <v>141</v>
      </c>
      <c r="B31" s="1" t="s">
        <v>142</v>
      </c>
      <c r="D31" s="0" t="s">
        <v>143</v>
      </c>
      <c r="F31" s="1" t="s">
        <v>144</v>
      </c>
      <c r="G31" s="0" t="n">
        <f aca="false">BoardQty*1</f>
        <v>5</v>
      </c>
      <c r="H31" s="11" t="n">
        <f aca="true">MINA(INDIRECT(ADDRESS(ROW(),COLUMN(newark_part_data)+2)),INDIRECT(ADDRESS(ROW(),COLUMN(digikey_part_data)+2)),INDIRECT(ADDRESS(ROW(),COLUMN(mouser_part_data)+2)))</f>
        <v>2.09</v>
      </c>
      <c r="I31" s="11" t="n">
        <f aca="false">IFERROR(G31*H31,"")</f>
        <v>10.45</v>
      </c>
      <c r="J31" s="0" t="n">
        <v>4571</v>
      </c>
      <c r="L31" s="11" t="n">
        <f aca="false">IFERROR(LOOKUP(IF(K31="",G31,K31),{0,1,10,100,500,1000,5000,10000},{0,2.13,1.936,1.659,1.3825,1.185,1.0507,1.027}),"")</f>
        <v>2.13</v>
      </c>
      <c r="M31" s="11" t="n">
        <f aca="false">IFERROR(IF(K31="",G31,K31)*L31,"")</f>
        <v>10.65</v>
      </c>
      <c r="N31" s="0" t="s">
        <v>145</v>
      </c>
      <c r="O31" s="12" t="s">
        <v>25</v>
      </c>
      <c r="P31" s="0" t="n">
        <v>3035</v>
      </c>
      <c r="R31" s="11" t="n">
        <f aca="false">IFERROR(LOOKUP(IF(Q31="",G31,Q31),{0,1,10,50,100,500,1000,5000,10000},{0,2.09,1.91,1.71,1.48,1.35,1.17,1.03,1.01}),"")</f>
        <v>2.09</v>
      </c>
      <c r="S31" s="11" t="n">
        <f aca="false">IFERROR(IF(Q31="",G31,Q31)*R31,"")</f>
        <v>10.45</v>
      </c>
      <c r="T31" s="0" t="s">
        <v>146</v>
      </c>
      <c r="U31" s="12" t="s">
        <v>25</v>
      </c>
      <c r="V31" s="0" t="n">
        <v>133</v>
      </c>
      <c r="X31" s="11" t="n">
        <f aca="false">IFERROR(LOOKUP(IF(W31="",G31,W31),{0,1,10,100,500,1000,5000,10000},{0,2.13,1.93,1.66,1.38,1.19,1.05,1.03}),"")</f>
        <v>2.13</v>
      </c>
      <c r="Y31" s="11" t="n">
        <f aca="false">IFERROR(IF(W31="",G31,W31)*X31,"")</f>
        <v>10.65</v>
      </c>
      <c r="Z31" s="0" t="s">
        <v>147</v>
      </c>
      <c r="AA31" s="12" t="s">
        <v>25</v>
      </c>
    </row>
    <row r="32" customFormat="false" ht="14.9" hidden="false" customHeight="false" outlineLevel="0" collapsed="false">
      <c r="A32" s="0" t="s">
        <v>148</v>
      </c>
      <c r="B32" s="1" t="s">
        <v>149</v>
      </c>
      <c r="D32" s="0" t="s">
        <v>22</v>
      </c>
      <c r="F32" s="1" t="s">
        <v>150</v>
      </c>
      <c r="G32" s="0" t="n">
        <f aca="false">BoardQty*4</f>
        <v>20</v>
      </c>
      <c r="H32" s="11" t="n">
        <f aca="true">MINA(INDIRECT(ADDRESS(ROW(),COLUMN(newark_part_data)+2)),INDIRECT(ADDRESS(ROW(),COLUMN(digikey_part_data)+2)),INDIRECT(ADDRESS(ROW(),COLUMN(mouser_part_data)+2)))</f>
        <v>0.007</v>
      </c>
      <c r="I32" s="11" t="n">
        <f aca="false">IFERROR(G32*H32,"")</f>
        <v>0.14</v>
      </c>
      <c r="J32" s="0" t="n">
        <v>2983162</v>
      </c>
      <c r="L32" s="11" t="n">
        <f aca="false">IFERROR(LOOKUP(IF(K32="",G32,K32),{0,1,10,25,100,250,500,1000,2500,5000,10000,25000,50000,125000},{0,0.1,0.011,0.008,0.0044,0.00336,0.0027,0.00198,0.00172,0.00129,0.00112,0.00099,0.0009,0.00089}),"")</f>
        <v>0.011</v>
      </c>
      <c r="M32" s="11" t="n">
        <f aca="false">IFERROR(IF(K32="",G32,K32)*L32,"")</f>
        <v>0.22</v>
      </c>
      <c r="N32" s="0" t="s">
        <v>151</v>
      </c>
      <c r="O32" s="12" t="s">
        <v>25</v>
      </c>
      <c r="P32" s="0" t="n">
        <v>52005</v>
      </c>
      <c r="R32" s="11" t="n">
        <f aca="false">IFERROR(LOOKUP(IF(Q32="",G32,Q32),{0,1,10,100,1000,5000,50000},{0,0.099,0.008,0.003,0.002,0.002,0.001}),"")</f>
        <v>0.008</v>
      </c>
      <c r="S32" s="11" t="n">
        <f aca="false">IFERROR(IF(Q32="",G32,Q32)*R32,"")</f>
        <v>0.16</v>
      </c>
      <c r="T32" s="0" t="s">
        <v>152</v>
      </c>
      <c r="U32" s="12" t="s">
        <v>25</v>
      </c>
      <c r="V32" s="0" t="n">
        <v>6</v>
      </c>
      <c r="X32" s="11" t="n">
        <f aca="false">IFERROR(LOOKUP(IF(W32="",G32,W32),{0,1,10,25,100,250,1000},{0,0.007,0.007,0.006,0.004,0.003,0.002}),"")</f>
        <v>0.007</v>
      </c>
      <c r="Y32" s="11" t="n">
        <f aca="false">IFERROR(IF(W32="",G32,W32)*X32,"")</f>
        <v>0.14</v>
      </c>
      <c r="Z32" s="0" t="s">
        <v>153</v>
      </c>
      <c r="AA32" s="12" t="s">
        <v>25</v>
      </c>
    </row>
    <row r="33" customFormat="false" ht="14.9" hidden="false" customHeight="false" outlineLevel="0" collapsed="false">
      <c r="A33" s="0" t="s">
        <v>154</v>
      </c>
      <c r="B33" s="1" t="s">
        <v>155</v>
      </c>
      <c r="D33" s="0" t="s">
        <v>22</v>
      </c>
      <c r="F33" s="1" t="s">
        <v>156</v>
      </c>
      <c r="G33" s="0" t="n">
        <f aca="false">BoardQty*2</f>
        <v>10</v>
      </c>
      <c r="H33" s="11" t="n">
        <f aca="true">MINA(INDIRECT(ADDRESS(ROW(),COLUMN(newark_part_data)+2)),INDIRECT(ADDRESS(ROW(),COLUMN(digikey_part_data)+2)),INDIRECT(ADDRESS(ROW(),COLUMN(mouser_part_data)+2)))</f>
        <v>0.01</v>
      </c>
      <c r="I33" s="11" t="n">
        <f aca="false">IFERROR(G33*H33,"")</f>
        <v>0.1</v>
      </c>
      <c r="J33" s="0" t="n">
        <v>707045</v>
      </c>
      <c r="L33" s="11" t="n">
        <f aca="false">IFERROR(LOOKUP(IF(K33="",G33,K33),{0,1,10,25,100,250,500,1000,2500,5000,10000,25000,50000,125000},{0,0.1,0.011,0.008,0.0044,0.00336,0.0027,0.00198,0.00172,0.00129,0.00112,0.00099,0.0009,0.00089}),"")</f>
        <v>0.011</v>
      </c>
      <c r="M33" s="11" t="n">
        <f aca="false">IFERROR(IF(K33="",G33,K33)*L33,"")</f>
        <v>0.11</v>
      </c>
      <c r="N33" s="0" t="s">
        <v>157</v>
      </c>
      <c r="O33" s="12" t="s">
        <v>25</v>
      </c>
      <c r="V33" s="0" t="n">
        <v>8289</v>
      </c>
      <c r="X33" s="11" t="n">
        <f aca="false">IFERROR(LOOKUP(IF(W33="",G33,W33),{0,1,10,25,100,250,1000},{0,0.06,0.01,0.007,0.004,0.003,0.002}),"")</f>
        <v>0.01</v>
      </c>
      <c r="Y33" s="11" t="n">
        <f aca="false">IFERROR(IF(W33="",G33,W33)*X33,"")</f>
        <v>0.1</v>
      </c>
      <c r="Z33" s="0" t="s">
        <v>158</v>
      </c>
      <c r="AA33" s="12" t="s">
        <v>25</v>
      </c>
    </row>
    <row r="34" customFormat="false" ht="14.9" hidden="false" customHeight="false" outlineLevel="0" collapsed="false">
      <c r="A34" s="0" t="s">
        <v>159</v>
      </c>
      <c r="B34" s="1" t="s">
        <v>160</v>
      </c>
      <c r="D34" s="0" t="s">
        <v>22</v>
      </c>
      <c r="F34" s="1" t="s">
        <v>161</v>
      </c>
      <c r="G34" s="0" t="n">
        <f aca="false">BoardQty*3</f>
        <v>15</v>
      </c>
      <c r="H34" s="11" t="n">
        <f aca="true">MINA(INDIRECT(ADDRESS(ROW(),COLUMN(newark_part_data)+2)),INDIRECT(ADDRESS(ROW(),COLUMN(digikey_part_data)+2)),INDIRECT(ADDRESS(ROW(),COLUMN(mouser_part_data)+2)))</f>
        <v>0.008</v>
      </c>
      <c r="I34" s="11" t="n">
        <f aca="false">IFERROR(G34*H34,"")</f>
        <v>0.12</v>
      </c>
      <c r="J34" s="0" t="n">
        <v>216465</v>
      </c>
      <c r="L34" s="11" t="n">
        <f aca="false">IFERROR(LOOKUP(IF(K34="",G34,K34),{0,1,10,25,100,250,500,1000,2500,5000,10000,25000,50000,125000},{0,0.1,0.011,0.008,0.0044,0.00336,0.0027,0.00198,0.00172,0.00129,0.00112,0.00099,0.0009,0.00089}),"")</f>
        <v>0.011</v>
      </c>
      <c r="M34" s="11" t="n">
        <f aca="false">IFERROR(IF(K34="",G34,K34)*L34,"")</f>
        <v>0.165</v>
      </c>
      <c r="N34" s="0" t="s">
        <v>162</v>
      </c>
      <c r="O34" s="12" t="s">
        <v>25</v>
      </c>
      <c r="P34" s="0" t="n">
        <v>129848</v>
      </c>
      <c r="R34" s="11" t="n">
        <f aca="false">IFERROR(LOOKUP(IF(Q34="",G34,Q34),{0,1,10,100,1000,5000,50000},{0,0.099,0.008,0.003,0.002,0.002,0.001}),"")</f>
        <v>0.008</v>
      </c>
      <c r="S34" s="11" t="n">
        <f aca="false">IFERROR(IF(Q34="",G34,Q34)*R34,"")</f>
        <v>0.12</v>
      </c>
      <c r="T34" s="0" t="s">
        <v>163</v>
      </c>
      <c r="U34" s="12" t="s">
        <v>25</v>
      </c>
      <c r="V34" s="0" t="n">
        <v>11857</v>
      </c>
      <c r="X34" s="11" t="n">
        <f aca="false">IFERROR(LOOKUP(IF(W34="",G34,W34),{0,1,10,25,100,250,1000},{0,0.06,0.01,0.007,0.004,0.003,0.002}),"")</f>
        <v>0.01</v>
      </c>
      <c r="Y34" s="11" t="n">
        <f aca="false">IFERROR(IF(W34="",G34,W34)*X34,"")</f>
        <v>0.15</v>
      </c>
      <c r="Z34" s="0" t="s">
        <v>164</v>
      </c>
      <c r="AA34" s="12" t="s">
        <v>25</v>
      </c>
    </row>
    <row r="35" customFormat="false" ht="14.9" hidden="false" customHeight="false" outlineLevel="0" collapsed="false">
      <c r="A35" s="0" t="s">
        <v>165</v>
      </c>
      <c r="B35" s="1" t="s">
        <v>160</v>
      </c>
      <c r="D35" s="0" t="s">
        <v>22</v>
      </c>
      <c r="F35" s="1" t="s">
        <v>166</v>
      </c>
      <c r="G35" s="0" t="n">
        <f aca="false">BoardQty*2</f>
        <v>10</v>
      </c>
      <c r="H35" s="11" t="n">
        <f aca="true">MINA(INDIRECT(ADDRESS(ROW(),COLUMN(newark_part_data)+2)),INDIRECT(ADDRESS(ROW(),COLUMN(digikey_part_data)+2)),INDIRECT(ADDRESS(ROW(),COLUMN(mouser_part_data)+2)))</f>
        <v>0.008</v>
      </c>
      <c r="I35" s="11" t="n">
        <f aca="false">IFERROR(G35*H35,"")</f>
        <v>0.08</v>
      </c>
      <c r="J35" s="0" t="n">
        <v>216465</v>
      </c>
      <c r="L35" s="11" t="n">
        <f aca="false">IFERROR(LOOKUP(IF(K35="",G35,K35),{0,1,10,25,100,250,500,1000,2500,5000,10000,25000,50000,125000},{0,0.1,0.011,0.008,0.0044,0.00336,0.0027,0.00198,0.00172,0.00129,0.00112,0.00099,0.0009,0.00089}),"")</f>
        <v>0.011</v>
      </c>
      <c r="M35" s="11" t="n">
        <f aca="false">IFERROR(IF(K35="",G35,K35)*L35,"")</f>
        <v>0.11</v>
      </c>
      <c r="N35" s="0" t="s">
        <v>162</v>
      </c>
      <c r="O35" s="12" t="s">
        <v>25</v>
      </c>
      <c r="P35" s="0" t="n">
        <v>129848</v>
      </c>
      <c r="R35" s="11" t="n">
        <f aca="false">IFERROR(LOOKUP(IF(Q35="",G35,Q35),{0,1,10,100,1000,5000,50000},{0,0.099,0.008,0.003,0.002,0.002,0.001}),"")</f>
        <v>0.008</v>
      </c>
      <c r="S35" s="11" t="n">
        <f aca="false">IFERROR(IF(Q35="",G35,Q35)*R35,"")</f>
        <v>0.08</v>
      </c>
      <c r="T35" s="0" t="s">
        <v>163</v>
      </c>
      <c r="U35" s="12" t="s">
        <v>25</v>
      </c>
      <c r="V35" s="0" t="n">
        <v>11857</v>
      </c>
      <c r="X35" s="11" t="n">
        <f aca="false">IFERROR(LOOKUP(IF(W35="",G35,W35),{0,1,10,25,100,250,1000},{0,0.06,0.01,0.007,0.004,0.003,0.002}),"")</f>
        <v>0.01</v>
      </c>
      <c r="Y35" s="11" t="n">
        <f aca="false">IFERROR(IF(W35="",G35,W35)*X35,"")</f>
        <v>0.1</v>
      </c>
      <c r="Z35" s="0" t="s">
        <v>164</v>
      </c>
      <c r="AA35" s="12" t="s">
        <v>25</v>
      </c>
    </row>
    <row r="36" customFormat="false" ht="13.8" hidden="false" customHeight="false" outlineLevel="0" collapsed="false">
      <c r="A36" s="0" t="s">
        <v>167</v>
      </c>
      <c r="B36" s="1" t="s">
        <v>168</v>
      </c>
      <c r="D36" s="0" t="s">
        <v>169</v>
      </c>
      <c r="G36" s="0" t="n">
        <f aca="false">BoardQty*3</f>
        <v>15</v>
      </c>
      <c r="H36" s="11" t="n">
        <f aca="true">MINA(INDIRECT(ADDRESS(ROW(),COLUMN(newark_part_data)+2)),INDIRECT(ADDRESS(ROW(),COLUMN(digikey_part_data)+2)),INDIRECT(ADDRESS(ROW(),COLUMN(mouser_part_data)+2)))</f>
        <v>0</v>
      </c>
      <c r="I36" s="11" t="n">
        <f aca="false">IFERROR(G36*H36,"")</f>
        <v>0</v>
      </c>
    </row>
    <row r="37" customFormat="false" ht="14.9" hidden="false" customHeight="false" outlineLevel="0" collapsed="false">
      <c r="A37" s="0" t="s">
        <v>170</v>
      </c>
      <c r="B37" s="1" t="s">
        <v>171</v>
      </c>
      <c r="D37" s="0" t="s">
        <v>22</v>
      </c>
      <c r="F37" s="1" t="s">
        <v>172</v>
      </c>
      <c r="G37" s="0" t="n">
        <f aca="false">BoardQty*2</f>
        <v>10</v>
      </c>
      <c r="H37" s="11" t="n">
        <f aca="true">MINA(INDIRECT(ADDRESS(ROW(),COLUMN(newark_part_data)+2)),INDIRECT(ADDRESS(ROW(),COLUMN(digikey_part_data)+2)),INDIRECT(ADDRESS(ROW(),COLUMN(mouser_part_data)+2)))</f>
        <v>0.008</v>
      </c>
      <c r="I37" s="11" t="n">
        <f aca="false">IFERROR(G37*H37,"")</f>
        <v>0.08</v>
      </c>
      <c r="J37" s="0" t="n">
        <v>2187151</v>
      </c>
      <c r="L37" s="11" t="n">
        <f aca="false">IFERROR(LOOKUP(IF(K37="",G37,K37),{0,1,10,25,100,250,500,1000,2500,5000,10000,25000,50000,125000},{0,0.1,0.011,0.008,0.0044,0.00336,0.0027,0.00198,0.00172,0.00129,0.00112,0.00099,0.0009,0.00089}),"")</f>
        <v>0.011</v>
      </c>
      <c r="M37" s="11" t="n">
        <f aca="false">IFERROR(IF(K37="",G37,K37)*L37,"")</f>
        <v>0.11</v>
      </c>
      <c r="N37" s="0" t="s">
        <v>173</v>
      </c>
      <c r="O37" s="12" t="s">
        <v>25</v>
      </c>
      <c r="P37" s="0" t="n">
        <v>122677</v>
      </c>
      <c r="R37" s="11" t="n">
        <f aca="false">IFERROR(LOOKUP(IF(Q37="",G37,Q37),{0,1,10,100,1000,5000,50000},{0,0.099,0.008,0.003,0.002,0.002,0.001}),"")</f>
        <v>0.008</v>
      </c>
      <c r="S37" s="11" t="n">
        <f aca="false">IFERROR(IF(Q37="",G37,Q37)*R37,"")</f>
        <v>0.08</v>
      </c>
      <c r="T37" s="0" t="s">
        <v>174</v>
      </c>
      <c r="U37" s="12" t="s">
        <v>25</v>
      </c>
      <c r="AA37" s="12" t="s">
        <v>25</v>
      </c>
    </row>
    <row r="38" customFormat="false" ht="14.9" hidden="false" customHeight="false" outlineLevel="0" collapsed="false">
      <c r="A38" s="0" t="s">
        <v>175</v>
      </c>
      <c r="B38" s="1" t="s">
        <v>176</v>
      </c>
      <c r="D38" s="0" t="s">
        <v>59</v>
      </c>
      <c r="F38" s="1" t="s">
        <v>177</v>
      </c>
      <c r="G38" s="0" t="n">
        <f aca="false">BoardQty*1</f>
        <v>5</v>
      </c>
      <c r="H38" s="11" t="n">
        <f aca="true">MINA(INDIRECT(ADDRESS(ROW(),COLUMN(newark_part_data)+2)),INDIRECT(ADDRESS(ROW(),COLUMN(digikey_part_data)+2)),INDIRECT(ADDRESS(ROW(),COLUMN(mouser_part_data)+2)))</f>
        <v>1.09</v>
      </c>
      <c r="I38" s="11" t="n">
        <f aca="false">IFERROR(G38*H38,"")</f>
        <v>5.45</v>
      </c>
      <c r="J38" s="0" t="n">
        <v>4911</v>
      </c>
      <c r="L38" s="11" t="n">
        <f aca="false">IFERROR(LOOKUP(IF(K38="",G38,K38),{0,1,10,50,100,250,500,750,1250,2500,6250,12500},{0,1.09,0.968,0.904,0.8,0.76,0.72,0.68,0.6,0.58,0.56,0.54}),"")</f>
        <v>1.09</v>
      </c>
      <c r="M38" s="11" t="n">
        <f aca="false">IFERROR(IF(K38="",G38,K38)*L38,"")</f>
        <v>5.45</v>
      </c>
      <c r="N38" s="0" t="s">
        <v>178</v>
      </c>
      <c r="O38" s="12" t="s">
        <v>25</v>
      </c>
    </row>
    <row r="39" customFormat="false" ht="14.9" hidden="false" customHeight="false" outlineLevel="0" collapsed="false">
      <c r="A39" s="0" t="s">
        <v>179</v>
      </c>
      <c r="B39" s="1" t="s">
        <v>180</v>
      </c>
      <c r="D39" s="0" t="s">
        <v>22</v>
      </c>
      <c r="F39" s="1" t="s">
        <v>181</v>
      </c>
      <c r="G39" s="0" t="n">
        <f aca="false">BoardQty*1</f>
        <v>5</v>
      </c>
      <c r="H39" s="11" t="n">
        <f aca="true">MINA(INDIRECT(ADDRESS(ROW(),COLUMN(newark_part_data)+2)),INDIRECT(ADDRESS(ROW(),COLUMN(digikey_part_data)+2)),INDIRECT(ADDRESS(ROW(),COLUMN(mouser_part_data)+2)))</f>
        <v>0.06</v>
      </c>
      <c r="I39" s="11" t="n">
        <f aca="false">IFERROR(G39*H39,"")</f>
        <v>0.3</v>
      </c>
      <c r="J39" s="0" t="n">
        <v>6894409</v>
      </c>
      <c r="L39" s="11" t="n">
        <f aca="false">IFERROR(LOOKUP(IF(K39="",G39,K39),{0,1,10,25,100,250,500,1000,2500,5000,10000,25000,50000,125000},{0,0.1,0.011,0.008,0.0045,0.00348,0.00278,0.00204,0.00177,0.00133,0.00116,0.00102,0.00093,0.00091}),"")</f>
        <v>0.1</v>
      </c>
      <c r="M39" s="11" t="n">
        <f aca="false">IFERROR(IF(K39="",G39,K39)*L39,"")</f>
        <v>0.5</v>
      </c>
      <c r="N39" s="0" t="s">
        <v>182</v>
      </c>
      <c r="O39" s="12" t="s">
        <v>25</v>
      </c>
      <c r="V39" s="0" t="n">
        <v>5112</v>
      </c>
      <c r="X39" s="11" t="n">
        <f aca="false">IFERROR(LOOKUP(IF(W39="",G39,W39),{0,1,10,25,100,250,1000},{0,0.06,0.01,0.007,0.004,0.003,0.002}),"")</f>
        <v>0.06</v>
      </c>
      <c r="Y39" s="11" t="n">
        <f aca="false">IFERROR(IF(W39="",G39,W39)*X39,"")</f>
        <v>0.3</v>
      </c>
      <c r="Z39" s="0" t="s">
        <v>183</v>
      </c>
      <c r="AA39" s="12" t="s">
        <v>25</v>
      </c>
    </row>
    <row r="40" customFormat="false" ht="14.9" hidden="false" customHeight="false" outlineLevel="0" collapsed="false">
      <c r="A40" s="0" t="s">
        <v>184</v>
      </c>
      <c r="B40" s="1" t="s">
        <v>185</v>
      </c>
      <c r="D40" s="0" t="s">
        <v>127</v>
      </c>
      <c r="F40" s="1" t="s">
        <v>186</v>
      </c>
      <c r="G40" s="0" t="n">
        <f aca="false">BoardQty*1</f>
        <v>5</v>
      </c>
      <c r="H40" s="11" t="n">
        <f aca="true">MINA(INDIRECT(ADDRESS(ROW(),COLUMN(newark_part_data)+2)),INDIRECT(ADDRESS(ROW(),COLUMN(digikey_part_data)+2)),INDIRECT(ADDRESS(ROW(),COLUMN(mouser_part_data)+2)))</f>
        <v>0.2</v>
      </c>
      <c r="I40" s="11" t="n">
        <f aca="false">IFERROR(G40*H40,"")</f>
        <v>1</v>
      </c>
      <c r="J40" s="0" t="n">
        <v>96024</v>
      </c>
      <c r="L40" s="11" t="n">
        <f aca="false">IFERROR(LOOKUP(IF(K40="",G40,K40),{0,1,10,50,100,250,500,1000,4000,8000,12000,28000,100000},{0,0.2,0.135,0.081,0.0684,0.0558,0.0468,0.0414,0.036,0.0342,0.0324,0.0306,0.0243}),"")</f>
        <v>0.2</v>
      </c>
      <c r="M40" s="11" t="n">
        <f aca="false">IFERROR(IF(K40="",G40,K40)*L40,"")</f>
        <v>1</v>
      </c>
      <c r="N40" s="0" t="s">
        <v>187</v>
      </c>
      <c r="O40" s="12" t="s">
        <v>25</v>
      </c>
      <c r="V40" s="0" t="n">
        <v>3436</v>
      </c>
      <c r="X40" s="11" t="n">
        <f aca="false">IFERROR(LOOKUP(IF(W40="",G40,W40),{0,1,10,50,100,250,500,1000},{0,0.334,0.28,0.167,0.147,0.112,0.097,0.082}),"")</f>
        <v>0.334</v>
      </c>
      <c r="Y40" s="11" t="n">
        <f aca="false">IFERROR(IF(W40="",G40,W40)*X40,"")</f>
        <v>1.67</v>
      </c>
      <c r="Z40" s="0" t="s">
        <v>188</v>
      </c>
      <c r="AA40" s="12" t="s">
        <v>25</v>
      </c>
    </row>
    <row r="41" customFormat="false" ht="14.9" hidden="false" customHeight="false" outlineLevel="0" collapsed="false">
      <c r="A41" s="0" t="s">
        <v>189</v>
      </c>
      <c r="B41" s="1" t="s">
        <v>190</v>
      </c>
      <c r="D41" s="0" t="s">
        <v>191</v>
      </c>
      <c r="F41" s="1" t="s">
        <v>192</v>
      </c>
      <c r="G41" s="0" t="n">
        <f aca="false">BoardQty*1</f>
        <v>5</v>
      </c>
      <c r="H41" s="11" t="n">
        <f aca="true">MINA(INDIRECT(ADDRESS(ROW(),COLUMN(newark_part_data)+2)),INDIRECT(ADDRESS(ROW(),COLUMN(digikey_part_data)+2)),INDIRECT(ADDRESS(ROW(),COLUMN(mouser_part_data)+2)))</f>
        <v>1.07</v>
      </c>
      <c r="I41" s="11" t="n">
        <f aca="false">IFERROR(G41*H41,"")</f>
        <v>5.35</v>
      </c>
      <c r="J41" s="0" t="n">
        <v>20580</v>
      </c>
      <c r="L41" s="11" t="n">
        <f aca="false">IFERROR(LOOKUP(IF(K41="",G41,K41),{0,1,10,25,50,100,400,800,1200,2000,4000,10000,20000,40000},{0,1.07,0.895,0.7712,0.7236,0.5712,0.39985,0.31416,0.29512,0.27608,0.2618,0.25228,0.24809,0.24276}),"")</f>
        <v>1.07</v>
      </c>
      <c r="M41" s="11" t="n">
        <f aca="false">IFERROR(IF(K41="",G41,K41)*L41,"")</f>
        <v>5.35</v>
      </c>
      <c r="N41" s="0" t="s">
        <v>193</v>
      </c>
      <c r="O41" s="12" t="s">
        <v>25</v>
      </c>
      <c r="V41" s="0" t="n">
        <v>759</v>
      </c>
      <c r="X41" s="11" t="n">
        <f aca="false">IFERROR(LOOKUP(IF(W41="",G41,W41),{0,1,10,25,50,100,250},{0,1.32,1.11,0.952,0.893,0.705,0.543}),"")</f>
        <v>1.32</v>
      </c>
      <c r="Y41" s="11" t="n">
        <f aca="false">IFERROR(IF(W41="",G41,W41)*X41,"")</f>
        <v>6.6</v>
      </c>
      <c r="Z41" s="0" t="s">
        <v>194</v>
      </c>
      <c r="AA41" s="12" t="s">
        <v>25</v>
      </c>
    </row>
    <row r="42" customFormat="false" ht="13.8" hidden="false" customHeight="false" outlineLevel="0" collapsed="false">
      <c r="A42" s="0" t="s">
        <v>195</v>
      </c>
      <c r="B42" s="1" t="s">
        <v>196</v>
      </c>
      <c r="D42" s="0" t="s">
        <v>197</v>
      </c>
      <c r="G42" s="0" t="n">
        <f aca="false">BoardQty*1</f>
        <v>5</v>
      </c>
      <c r="H42" s="11" t="n">
        <f aca="true">MINA(INDIRECT(ADDRESS(ROW(),COLUMN(newark_part_data)+2)),INDIRECT(ADDRESS(ROW(),COLUMN(digikey_part_data)+2)),INDIRECT(ADDRESS(ROW(),COLUMN(mouser_part_data)+2)))</f>
        <v>0</v>
      </c>
      <c r="I42" s="11" t="n">
        <f aca="false">IFERROR(G42*H42,"")</f>
        <v>0</v>
      </c>
    </row>
    <row r="43" customFormat="false" ht="14.9" hidden="false" customHeight="false" outlineLevel="0" collapsed="false">
      <c r="A43" s="0" t="s">
        <v>198</v>
      </c>
      <c r="B43" s="1" t="s">
        <v>199</v>
      </c>
      <c r="D43" s="0" t="s">
        <v>200</v>
      </c>
      <c r="F43" s="1" t="s">
        <v>201</v>
      </c>
      <c r="G43" s="0" t="n">
        <f aca="false">BoardQty*1</f>
        <v>5</v>
      </c>
      <c r="H43" s="11" t="n">
        <f aca="true">MINA(INDIRECT(ADDRESS(ROW(),COLUMN(newark_part_data)+2)),INDIRECT(ADDRESS(ROW(),COLUMN(digikey_part_data)+2)),INDIRECT(ADDRESS(ROW(),COLUMN(mouser_part_data)+2)))</f>
        <v>0.41</v>
      </c>
      <c r="I43" s="11" t="n">
        <f aca="false">IFERROR(G43*H43,"")</f>
        <v>2.05</v>
      </c>
      <c r="J43" s="0" t="n">
        <v>10550</v>
      </c>
      <c r="L43" s="11" t="n">
        <f aca="false">IFERROR(LOOKUP(IF(K43="",G43,K43),{0,1,10,25,100,250,500,1000,2000,6000,10000,50000,100000},{0,0.41,0.297,0.2276,0.1485,0.10892,0.0924,0.0759,0.06,0.054,0.048,0.0405,0.039}),"")</f>
        <v>0.41</v>
      </c>
      <c r="M43" s="11" t="n">
        <f aca="false">IFERROR(IF(K43="",G43,K43)*L43,"")</f>
        <v>2.05</v>
      </c>
      <c r="N43" s="0" t="s">
        <v>202</v>
      </c>
      <c r="O43" s="12" t="s">
        <v>25</v>
      </c>
    </row>
    <row r="44" customFormat="false" ht="14.9" hidden="false" customHeight="false" outlineLevel="0" collapsed="false">
      <c r="A44" s="0" t="s">
        <v>203</v>
      </c>
      <c r="B44" s="1" t="s">
        <v>204</v>
      </c>
      <c r="F44" s="1" t="s">
        <v>205</v>
      </c>
      <c r="G44" s="0" t="n">
        <f aca="false">BoardQty*1</f>
        <v>5</v>
      </c>
      <c r="H44" s="11" t="n">
        <f aca="true">MINA(INDIRECT(ADDRESS(ROW(),COLUMN(newark_part_data)+2)),INDIRECT(ADDRESS(ROW(),COLUMN(digikey_part_data)+2)),INDIRECT(ADDRESS(ROW(),COLUMN(mouser_part_data)+2)))</f>
        <v>0.076</v>
      </c>
      <c r="I44" s="11" t="n">
        <f aca="false">IFERROR(G44*H44,"")</f>
        <v>0.38</v>
      </c>
      <c r="J44" s="0" t="n">
        <v>14889</v>
      </c>
      <c r="L44" s="11" t="n">
        <f aca="false">IFERROR(LOOKUP(IF(K44="",G44,K44),{0,1,10,25,50,100,500,1000,4000,8000,12000,28000,100000},{0,0.1,0.048,0.034,0.0262,0.0221,0.01548,0.01206,0.00925,0.00844,0.00804,0.00764,0.00553}),"")</f>
        <v>0.1</v>
      </c>
      <c r="M44" s="11" t="n">
        <f aca="false">IFERROR(IF(K44="",G44,K44)*L44,"")</f>
        <v>0.5</v>
      </c>
      <c r="N44" s="0" t="s">
        <v>206</v>
      </c>
      <c r="O44" s="12" t="s">
        <v>25</v>
      </c>
      <c r="V44" s="0" t="n">
        <v>15316</v>
      </c>
      <c r="X44" s="11" t="n">
        <f aca="false">IFERROR(LOOKUP(IF(W44="",G44,W44),{0,1,10,50,100,250,500,1000},{0,0.076,0.033,0.023,0.014,0.012,0.01,0.008}),"")</f>
        <v>0.076</v>
      </c>
      <c r="Y44" s="11" t="n">
        <f aca="false">IFERROR(IF(W44="",G44,W44)*X44,"")</f>
        <v>0.38</v>
      </c>
      <c r="Z44" s="0" t="s">
        <v>207</v>
      </c>
      <c r="AA44" s="12" t="s">
        <v>25</v>
      </c>
    </row>
    <row r="45" customFormat="false" ht="14.9" hidden="false" customHeight="false" outlineLevel="0" collapsed="false">
      <c r="A45" s="0" t="s">
        <v>208</v>
      </c>
      <c r="B45" s="1" t="s">
        <v>209</v>
      </c>
      <c r="D45" s="0" t="s">
        <v>22</v>
      </c>
      <c r="F45" s="1" t="s">
        <v>210</v>
      </c>
      <c r="G45" s="0" t="n">
        <f aca="false">BoardQty*13</f>
        <v>65</v>
      </c>
      <c r="H45" s="11" t="n">
        <f aca="true">MINA(INDIRECT(ADDRESS(ROW(),COLUMN(newark_part_data)+2)),INDIRECT(ADDRESS(ROW(),COLUMN(digikey_part_data)+2)),INDIRECT(ADDRESS(ROW(),COLUMN(mouser_part_data)+2)))</f>
        <v>0.1712</v>
      </c>
      <c r="I45" s="11" t="n">
        <f aca="false">IFERROR(G45*H45,"")</f>
        <v>11.128</v>
      </c>
      <c r="J45" s="0" t="n">
        <v>30257</v>
      </c>
      <c r="L45" s="11" t="n">
        <f aca="false">IFERROR(LOOKUP(IF(K45="",G45,K45),{0,1,10,25,50,100,250,500,1000,5000,10000,25000,50000,125000},{0,0.4,0.303,0.2304,0.1712,0.1273,0.10752,0.09216,0.07022,0.05686,0.05426,0.05199,0.05087,0.04988}),"")</f>
        <v>0.1712</v>
      </c>
      <c r="M45" s="11" t="n">
        <f aca="false">IFERROR(IF(K45="",G45,K45)*L45,"")</f>
        <v>11.128</v>
      </c>
      <c r="N45" s="0" t="s">
        <v>211</v>
      </c>
      <c r="O45" s="12" t="s">
        <v>25</v>
      </c>
      <c r="AA45" s="12" t="s">
        <v>25</v>
      </c>
    </row>
    <row r="46" customFormat="false" ht="14.9" hidden="false" customHeight="false" outlineLevel="0" collapsed="false">
      <c r="A46" s="0" t="s">
        <v>212</v>
      </c>
      <c r="B46" s="1" t="s">
        <v>213</v>
      </c>
      <c r="D46" s="0" t="s">
        <v>110</v>
      </c>
      <c r="F46" s="1" t="s">
        <v>214</v>
      </c>
      <c r="G46" s="0" t="n">
        <f aca="false">BoardQty*1</f>
        <v>5</v>
      </c>
      <c r="H46" s="11" t="n">
        <f aca="true">MINA(INDIRECT(ADDRESS(ROW(),COLUMN(newark_part_data)+2)),INDIRECT(ADDRESS(ROW(),COLUMN(digikey_part_data)+2)),INDIRECT(ADDRESS(ROW(),COLUMN(mouser_part_data)+2)))</f>
        <v>0.1</v>
      </c>
      <c r="I46" s="11" t="n">
        <f aca="false">IFERROR(G46*H46,"")</f>
        <v>0.5</v>
      </c>
      <c r="J46" s="0" t="n">
        <v>2275521</v>
      </c>
      <c r="L46" s="11" t="n">
        <f aca="false">IFERROR(LOOKUP(IF(K46="",G46,K46),{0,1,10,50,100,250,500,1000,4000,8000,12000,28000,100000},{0,0.1,0.019,0.0104,0.0088,0.0072,0.00616,0.0048,0.00368,0.00336,0.0032,0.00304,0.0022}),"")</f>
        <v>0.1</v>
      </c>
      <c r="M46" s="11" t="n">
        <f aca="false">IFERROR(IF(K46="",G46,K46)*L46,"")</f>
        <v>0.5</v>
      </c>
      <c r="N46" s="0" t="s">
        <v>215</v>
      </c>
      <c r="O46" s="12" t="s">
        <v>25</v>
      </c>
      <c r="V46" s="0" t="n">
        <v>2602</v>
      </c>
      <c r="X46" s="11" t="n">
        <f aca="false">IFERROR(LOOKUP(IF(W46="",G46,W46),{0,1,10,25,50,100,250,1000},{0,0.1,0.024,0.015,0.012,0.01,0.009,0.006}),"")</f>
        <v>0.1</v>
      </c>
      <c r="Y46" s="11" t="n">
        <f aca="false">IFERROR(IF(W46="",G46,W46)*X46,"")</f>
        <v>0.5</v>
      </c>
      <c r="Z46" s="0" t="s">
        <v>216</v>
      </c>
      <c r="AA46" s="12" t="s">
        <v>25</v>
      </c>
    </row>
    <row r="47" customFormat="false" ht="14.9" hidden="false" customHeight="false" outlineLevel="0" collapsed="false">
      <c r="A47" s="0" t="s">
        <v>217</v>
      </c>
      <c r="B47" s="1" t="s">
        <v>218</v>
      </c>
      <c r="D47" s="0" t="s">
        <v>22</v>
      </c>
      <c r="F47" s="1" t="s">
        <v>219</v>
      </c>
      <c r="G47" s="0" t="n">
        <f aca="false">BoardQty*1</f>
        <v>5</v>
      </c>
      <c r="H47" s="11" t="n">
        <f aca="true">MINA(INDIRECT(ADDRESS(ROW(),COLUMN(newark_part_data)+2)),INDIRECT(ADDRESS(ROW(),COLUMN(digikey_part_data)+2)),INDIRECT(ADDRESS(ROW(),COLUMN(mouser_part_data)+2)))</f>
        <v>0.63</v>
      </c>
      <c r="I47" s="11" t="n">
        <f aca="false">IFERROR(G47*H47,"")</f>
        <v>3.15</v>
      </c>
      <c r="J47" s="0" t="n">
        <v>80887</v>
      </c>
      <c r="L47" s="11" t="n">
        <f aca="false">IFERROR(LOOKUP(IF(K47="",G47,K47),{0,1,50,100,250,500,1000,5000,10000,25000,50000,125000},{0,0.63,0.2494,0.1924,0.14964,0.10546,0.07695,0.04275,0.0399,0.03791,0.03714,0.03634}),"")</f>
        <v>0.63</v>
      </c>
      <c r="M47" s="11" t="n">
        <f aca="false">IFERROR(IF(K47="",G47,K47)*L47,"")</f>
        <v>3.15</v>
      </c>
      <c r="N47" s="0" t="s">
        <v>220</v>
      </c>
      <c r="O47" s="12" t="s">
        <v>25</v>
      </c>
      <c r="V47" s="0" t="n">
        <v>2473</v>
      </c>
      <c r="X47" s="11" t="n">
        <f aca="false">IFERROR(LOOKUP(IF(W47="",G47,W47),{0,1,50,100,250,500,1000},{0,0.631,0.249,0.192,0.149,0.105,0.077}),"")</f>
        <v>0.631</v>
      </c>
      <c r="Y47" s="11" t="n">
        <f aca="false">IFERROR(IF(W47="",G47,W47)*X47,"")</f>
        <v>3.155</v>
      </c>
      <c r="Z47" s="0" t="s">
        <v>221</v>
      </c>
      <c r="AA47" s="12" t="s">
        <v>25</v>
      </c>
    </row>
    <row r="48" customFormat="false" ht="13.8" hidden="false" customHeight="false" outlineLevel="0" collapsed="false">
      <c r="A48" s="0" t="s">
        <v>222</v>
      </c>
      <c r="B48" s="1" t="s">
        <v>223</v>
      </c>
      <c r="D48" s="0" t="s">
        <v>224</v>
      </c>
      <c r="G48" s="0" t="n">
        <f aca="false">BoardQty*1</f>
        <v>5</v>
      </c>
      <c r="H48" s="11" t="n">
        <f aca="true">MINA(INDIRECT(ADDRESS(ROW(),COLUMN(newark_part_data)+2)),INDIRECT(ADDRESS(ROW(),COLUMN(digikey_part_data)+2)),INDIRECT(ADDRESS(ROW(),COLUMN(mouser_part_data)+2)))</f>
        <v>0</v>
      </c>
      <c r="I48" s="11" t="n">
        <f aca="false">IFERROR(G48*H48,"")</f>
        <v>0</v>
      </c>
    </row>
    <row r="49" customFormat="false" ht="14.9" hidden="false" customHeight="false" outlineLevel="0" collapsed="false">
      <c r="A49" s="0" t="s">
        <v>225</v>
      </c>
      <c r="B49" s="1" t="s">
        <v>226</v>
      </c>
      <c r="D49" s="0" t="s">
        <v>22</v>
      </c>
      <c r="F49" s="1" t="s">
        <v>227</v>
      </c>
      <c r="G49" s="0" t="n">
        <f aca="false">BoardQty*1</f>
        <v>5</v>
      </c>
      <c r="H49" s="11" t="n">
        <f aca="true">MINA(INDIRECT(ADDRESS(ROW(),COLUMN(newark_part_data)+2)),INDIRECT(ADDRESS(ROW(),COLUMN(digikey_part_data)+2)),INDIRECT(ADDRESS(ROW(),COLUMN(mouser_part_data)+2)))</f>
        <v>0.06</v>
      </c>
      <c r="I49" s="11" t="n">
        <f aca="false">IFERROR(G49*H49,"")</f>
        <v>0.3</v>
      </c>
      <c r="J49" s="0" t="n">
        <v>2489667</v>
      </c>
      <c r="L49" s="11" t="n">
        <f aca="false">IFERROR(LOOKUP(IF(K49="",G49,K49),{0,1,10,25,100,250,500,1000,2500,5000,10000,25000,50000,125000},{0,0.1,0.011,0.008,0.0044,0.00336,0.0027,0.00198,0.00172,0.00129,0.00112,0.00099,0.0009,0.00089}),"")</f>
        <v>0.1</v>
      </c>
      <c r="M49" s="11" t="n">
        <f aca="false">IFERROR(IF(K49="",G49,K49)*L49,"")</f>
        <v>0.5</v>
      </c>
      <c r="N49" s="0" t="s">
        <v>228</v>
      </c>
      <c r="O49" s="12" t="s">
        <v>25</v>
      </c>
      <c r="V49" s="0" t="n">
        <v>7314</v>
      </c>
      <c r="X49" s="11" t="n">
        <f aca="false">IFERROR(LOOKUP(IF(W49="",G49,W49),{0,1,10,25,100,250,1000},{0,0.06,0.01,0.007,0.004,0.003,0.002}),"")</f>
        <v>0.06</v>
      </c>
      <c r="Y49" s="11" t="n">
        <f aca="false">IFERROR(IF(W49="",G49,W49)*X49,"")</f>
        <v>0.3</v>
      </c>
      <c r="Z49" s="0" t="s">
        <v>229</v>
      </c>
      <c r="AA49" s="12" t="s">
        <v>25</v>
      </c>
    </row>
    <row r="50" customFormat="false" ht="14.9" hidden="false" customHeight="false" outlineLevel="0" collapsed="false">
      <c r="A50" s="0" t="s">
        <v>230</v>
      </c>
      <c r="B50" s="1" t="s">
        <v>226</v>
      </c>
      <c r="D50" s="0" t="s">
        <v>22</v>
      </c>
      <c r="F50" s="1" t="s">
        <v>231</v>
      </c>
      <c r="G50" s="0" t="n">
        <f aca="false">BoardQty*2</f>
        <v>10</v>
      </c>
      <c r="H50" s="11" t="n">
        <f aca="true">MINA(INDIRECT(ADDRESS(ROW(),COLUMN(newark_part_data)+2)),INDIRECT(ADDRESS(ROW(),COLUMN(digikey_part_data)+2)),INDIRECT(ADDRESS(ROW(),COLUMN(mouser_part_data)+2)))</f>
        <v>0.01</v>
      </c>
      <c r="I50" s="11" t="n">
        <f aca="false">IFERROR(G50*H50,"")</f>
        <v>0.1</v>
      </c>
      <c r="J50" s="0" t="n">
        <v>2489667</v>
      </c>
      <c r="L50" s="11" t="n">
        <f aca="false">IFERROR(LOOKUP(IF(K50="",G50,K50),{0,1,10,25,100,250,500,1000,2500,5000,10000,25000,50000,125000},{0,0.1,0.011,0.008,0.0044,0.00336,0.0027,0.00198,0.00172,0.00129,0.00112,0.00099,0.0009,0.00089}),"")</f>
        <v>0.011</v>
      </c>
      <c r="M50" s="11" t="n">
        <f aca="false">IFERROR(IF(K50="",G50,K50)*L50,"")</f>
        <v>0.11</v>
      </c>
      <c r="N50" s="0" t="s">
        <v>228</v>
      </c>
      <c r="O50" s="12" t="s">
        <v>25</v>
      </c>
      <c r="V50" s="0" t="n">
        <v>7314</v>
      </c>
      <c r="X50" s="11" t="n">
        <f aca="false">IFERROR(LOOKUP(IF(W50="",G50,W50),{0,1,10,25,100,250,1000},{0,0.06,0.01,0.007,0.004,0.003,0.002}),"")</f>
        <v>0.01</v>
      </c>
      <c r="Y50" s="11" t="n">
        <f aca="false">IFERROR(IF(W50="",G50,W50)*X50,"")</f>
        <v>0.1</v>
      </c>
      <c r="Z50" s="0" t="s">
        <v>229</v>
      </c>
      <c r="AA50" s="12" t="s">
        <v>25</v>
      </c>
    </row>
    <row r="51" customFormat="false" ht="14.9" hidden="false" customHeight="false" outlineLevel="0" collapsed="false">
      <c r="A51" s="0" t="s">
        <v>232</v>
      </c>
      <c r="B51" s="1" t="s">
        <v>233</v>
      </c>
      <c r="D51" s="0" t="s">
        <v>234</v>
      </c>
      <c r="F51" s="1" t="s">
        <v>235</v>
      </c>
      <c r="G51" s="0" t="n">
        <f aca="false">BoardQty*1</f>
        <v>5</v>
      </c>
      <c r="H51" s="11" t="n">
        <f aca="true">MINA(INDIRECT(ADDRESS(ROW(),COLUMN(newark_part_data)+2)),INDIRECT(ADDRESS(ROW(),COLUMN(digikey_part_data)+2)),INDIRECT(ADDRESS(ROW(),COLUMN(mouser_part_data)+2)))</f>
        <v>0.374</v>
      </c>
      <c r="I51" s="11" t="n">
        <f aca="false">IFERROR(G51*H51,"")</f>
        <v>1.87</v>
      </c>
      <c r="J51" s="0" t="n">
        <v>15048</v>
      </c>
      <c r="L51" s="11" t="n">
        <f aca="false">IFERROR(LOOKUP(IF(K51="",G51,K51),{0,1,10,100,500,1000,3000,6000,15000,30000,75000,150000},{0,0.5,0.426,0.3179,0.2497,0.1925,0.1705,0.1595,0.1485,0.1408,0.1375,0.132}),"")</f>
        <v>0.5</v>
      </c>
      <c r="M51" s="11" t="n">
        <f aca="false">IFERROR(IF(K51="",G51,K51)*L51,"")</f>
        <v>2.5</v>
      </c>
      <c r="N51" s="0" t="s">
        <v>236</v>
      </c>
      <c r="O51" s="12" t="s">
        <v>25</v>
      </c>
      <c r="V51" s="0" t="n">
        <v>6474</v>
      </c>
      <c r="X51" s="11" t="n">
        <f aca="false">IFERROR(LOOKUP(IF(W51="",G51,W51),{0,1,10,100,250,500,1000},{0,0.374,0.325,0.26,0.226,0.189,0.156}),"")</f>
        <v>0.374</v>
      </c>
      <c r="Y51" s="11" t="n">
        <f aca="false">IFERROR(IF(W51="",G51,W51)*X51,"")</f>
        <v>1.87</v>
      </c>
      <c r="Z51" s="0" t="s">
        <v>237</v>
      </c>
      <c r="AA51" s="12" t="s">
        <v>25</v>
      </c>
    </row>
    <row r="52" customFormat="false" ht="14.9" hidden="false" customHeight="false" outlineLevel="0" collapsed="false">
      <c r="A52" s="0" t="s">
        <v>238</v>
      </c>
      <c r="B52" s="1" t="s">
        <v>239</v>
      </c>
      <c r="D52" s="0" t="s">
        <v>110</v>
      </c>
      <c r="F52" s="1" t="s">
        <v>240</v>
      </c>
      <c r="G52" s="0" t="n">
        <f aca="false">BoardQty*1</f>
        <v>5</v>
      </c>
      <c r="H52" s="11" t="n">
        <f aca="true">MINA(INDIRECT(ADDRESS(ROW(),COLUMN(newark_part_data)+2)),INDIRECT(ADDRESS(ROW(),COLUMN(digikey_part_data)+2)),INDIRECT(ADDRESS(ROW(),COLUMN(mouser_part_data)+2)))</f>
        <v>0.1</v>
      </c>
      <c r="I52" s="11" t="n">
        <f aca="false">IFERROR(G52*H52,"")</f>
        <v>0.5</v>
      </c>
      <c r="J52" s="0" t="n">
        <v>629581</v>
      </c>
      <c r="L52" s="11" t="n">
        <f aca="false">IFERROR(LOOKUP(IF(K52="",G52,K52),{0,1,10,50,100,250,500,1000,5000,15000,30000,75000,105000},{0,0.1,0.014,0.0078,0.0066,0.0054,0.00462,0.0036,0.003,0.0024,0.00228,0.00204,0.00165}),"")</f>
        <v>0.1</v>
      </c>
      <c r="M52" s="11" t="n">
        <f aca="false">IFERROR(IF(K52="",G52,K52)*L52,"")</f>
        <v>0.5</v>
      </c>
      <c r="N52" s="0" t="s">
        <v>241</v>
      </c>
      <c r="O52" s="12" t="s">
        <v>25</v>
      </c>
      <c r="AA52" s="12" t="s">
        <v>25</v>
      </c>
    </row>
    <row r="53" customFormat="false" ht="14.9" hidden="false" customHeight="false" outlineLevel="0" collapsed="false">
      <c r="A53" s="0" t="s">
        <v>242</v>
      </c>
      <c r="B53" s="1" t="s">
        <v>77</v>
      </c>
      <c r="D53" s="0" t="s">
        <v>243</v>
      </c>
      <c r="F53" s="1" t="s">
        <v>244</v>
      </c>
      <c r="G53" s="0" t="n">
        <f aca="false">BoardQty*1</f>
        <v>5</v>
      </c>
      <c r="H53" s="11" t="n">
        <f aca="true">MINA(INDIRECT(ADDRESS(ROW(),COLUMN(newark_part_data)+2)),INDIRECT(ADDRESS(ROW(),COLUMN(digikey_part_data)+2)),INDIRECT(ADDRESS(ROW(),COLUMN(mouser_part_data)+2)))</f>
        <v>0.088</v>
      </c>
      <c r="I53" s="11" t="n">
        <f aca="false">IFERROR(G53*H53,"")</f>
        <v>0.44</v>
      </c>
      <c r="J53" s="0" t="n">
        <v>205931</v>
      </c>
      <c r="L53" s="11" t="n">
        <f aca="false">IFERROR(LOOKUP(IF(K53="",G53,K53),{0,1,50,100,250,500,1000,5000,10000,25000,50000,125000},{0,0.1,0.0212,0.0156,0.01188,0.0095,0.007,0.00456,0.00396,0.00348,0.00319,0.00313}),"")</f>
        <v>0.1</v>
      </c>
      <c r="M53" s="11" t="n">
        <f aca="false">IFERROR(IF(K53="",G53,K53)*L53,"")</f>
        <v>0.5</v>
      </c>
      <c r="N53" s="0" t="s">
        <v>245</v>
      </c>
      <c r="O53" s="12" t="s">
        <v>25</v>
      </c>
      <c r="V53" s="0" t="n">
        <v>25957</v>
      </c>
      <c r="X53" s="11" t="n">
        <f aca="false">IFERROR(LOOKUP(IF(W53="",G53,W53),{0,1,50,100,250,500,1000,2500},{0,0.088,0.025,0.019,0.014,0.011,0.007,0.006}),"")</f>
        <v>0.088</v>
      </c>
      <c r="Y53" s="11" t="n">
        <f aca="false">IFERROR(IF(W53="",G53,W53)*X53,"")</f>
        <v>0.44</v>
      </c>
      <c r="Z53" s="0" t="s">
        <v>246</v>
      </c>
      <c r="AA53" s="12" t="s">
        <v>25</v>
      </c>
    </row>
    <row r="54" customFormat="false" ht="14.9" hidden="false" customHeight="false" outlineLevel="0" collapsed="false">
      <c r="A54" s="0" t="s">
        <v>247</v>
      </c>
      <c r="B54" s="1" t="s">
        <v>248</v>
      </c>
      <c r="D54" s="0" t="s">
        <v>22</v>
      </c>
      <c r="F54" s="1" t="s">
        <v>249</v>
      </c>
      <c r="G54" s="0" t="n">
        <f aca="false">BoardQty*1</f>
        <v>5</v>
      </c>
      <c r="H54" s="11" t="n">
        <f aca="true">MINA(INDIRECT(ADDRESS(ROW(),COLUMN(newark_part_data)+2)),INDIRECT(ADDRESS(ROW(),COLUMN(digikey_part_data)+2)),INDIRECT(ADDRESS(ROW(),COLUMN(mouser_part_data)+2)))</f>
        <v>0.06</v>
      </c>
      <c r="I54" s="11" t="n">
        <f aca="false">IFERROR(G54*H54,"")</f>
        <v>0.3</v>
      </c>
      <c r="J54" s="0" t="n">
        <v>5068896</v>
      </c>
      <c r="L54" s="11" t="n">
        <f aca="false">IFERROR(LOOKUP(IF(K54="",G54,K54),{0,1,10,25,100,250,500,1000,2500,5000,10000,25000,50000,125000},{0,0.1,0.011,0.008,0.0044,0.00336,0.0027,0.00198,0.00172,0.00129,0.00112,0.00099,0.0009,0.00089}),"")</f>
        <v>0.1</v>
      </c>
      <c r="M54" s="11" t="n">
        <f aca="false">IFERROR(IF(K54="",G54,K54)*L54,"")</f>
        <v>0.5</v>
      </c>
      <c r="N54" s="0" t="s">
        <v>250</v>
      </c>
      <c r="O54" s="12" t="s">
        <v>25</v>
      </c>
      <c r="V54" s="0" t="n">
        <v>5318</v>
      </c>
      <c r="X54" s="11" t="n">
        <f aca="false">IFERROR(LOOKUP(IF(W54="",G54,W54),{0,1,10,25,100,250,1000},{0,0.06,0.01,0.007,0.004,0.003,0.002}),"")</f>
        <v>0.06</v>
      </c>
      <c r="Y54" s="11" t="n">
        <f aca="false">IFERROR(IF(W54="",G54,W54)*X54,"")</f>
        <v>0.3</v>
      </c>
      <c r="Z54" s="0" t="s">
        <v>251</v>
      </c>
      <c r="AA54" s="12" t="s">
        <v>25</v>
      </c>
    </row>
    <row r="55" customFormat="false" ht="14.9" hidden="false" customHeight="false" outlineLevel="0" collapsed="false">
      <c r="A55" s="0" t="s">
        <v>252</v>
      </c>
      <c r="B55" s="1" t="s">
        <v>248</v>
      </c>
      <c r="D55" s="0" t="s">
        <v>22</v>
      </c>
      <c r="F55" s="1" t="s">
        <v>253</v>
      </c>
      <c r="G55" s="0" t="n">
        <f aca="false">BoardQty*4</f>
        <v>20</v>
      </c>
      <c r="H55" s="11" t="n">
        <f aca="true">MINA(INDIRECT(ADDRESS(ROW(),COLUMN(newark_part_data)+2)),INDIRECT(ADDRESS(ROW(),COLUMN(digikey_part_data)+2)),INDIRECT(ADDRESS(ROW(),COLUMN(mouser_part_data)+2)))</f>
        <v>0.01</v>
      </c>
      <c r="I55" s="11" t="n">
        <f aca="false">IFERROR(G55*H55,"")</f>
        <v>0.2</v>
      </c>
      <c r="J55" s="0" t="n">
        <v>5068896</v>
      </c>
      <c r="L55" s="11" t="n">
        <f aca="false">IFERROR(LOOKUP(IF(K55="",G55,K55),{0,1,10,25,100,250,500,1000,2500,5000,10000,25000,50000,125000},{0,0.1,0.011,0.008,0.0044,0.00336,0.0027,0.00198,0.00172,0.00129,0.00112,0.00099,0.0009,0.00089}),"")</f>
        <v>0.011</v>
      </c>
      <c r="M55" s="11" t="n">
        <f aca="false">IFERROR(IF(K55="",G55,K55)*L55,"")</f>
        <v>0.22</v>
      </c>
      <c r="N55" s="0" t="s">
        <v>250</v>
      </c>
      <c r="O55" s="12" t="s">
        <v>25</v>
      </c>
      <c r="V55" s="0" t="n">
        <v>5318</v>
      </c>
      <c r="X55" s="11" t="n">
        <f aca="false">IFERROR(LOOKUP(IF(W55="",G55,W55),{0,1,10,25,100,250,1000},{0,0.06,0.01,0.007,0.004,0.003,0.002}),"")</f>
        <v>0.01</v>
      </c>
      <c r="Y55" s="11" t="n">
        <f aca="false">IFERROR(IF(W55="",G55,W55)*X55,"")</f>
        <v>0.2</v>
      </c>
      <c r="Z55" s="0" t="s">
        <v>251</v>
      </c>
      <c r="AA55" s="12" t="s">
        <v>25</v>
      </c>
    </row>
    <row r="56" customFormat="false" ht="14.9" hidden="false" customHeight="false" outlineLevel="0" collapsed="false">
      <c r="A56" s="0" t="s">
        <v>254</v>
      </c>
      <c r="B56" s="1" t="s">
        <v>255</v>
      </c>
      <c r="D56" s="0" t="s">
        <v>256</v>
      </c>
      <c r="F56" s="1" t="s">
        <v>257</v>
      </c>
      <c r="G56" s="0" t="n">
        <f aca="false">BoardQty*1</f>
        <v>5</v>
      </c>
      <c r="H56" s="11" t="n">
        <f aca="true">MINA(INDIRECT(ADDRESS(ROW(),COLUMN(newark_part_data)+2)),INDIRECT(ADDRESS(ROW(),COLUMN(digikey_part_data)+2)),INDIRECT(ADDRESS(ROW(),COLUMN(mouser_part_data)+2)))</f>
        <v>6.49</v>
      </c>
      <c r="I56" s="11" t="n">
        <f aca="false">IFERROR(G56*H56,"")</f>
        <v>32.45</v>
      </c>
      <c r="J56" s="0" t="n">
        <v>5555</v>
      </c>
      <c r="L56" s="11" t="n">
        <f aca="false">IFERROR(LOOKUP(IF(K56="",G56,K56),{0,1,10,25,50,100,250,500,2500},{0,6.49,6.12,4.896,4.6512,4.284,4.06368,3.9168,2.9376}),"")</f>
        <v>6.49</v>
      </c>
      <c r="M56" s="11" t="n">
        <f aca="false">IFERROR(IF(K56="",G56,K56)*L56,"")</f>
        <v>32.45</v>
      </c>
      <c r="N56" s="0" t="s">
        <v>258</v>
      </c>
      <c r="O56" s="12" t="s">
        <v>25</v>
      </c>
      <c r="V56" s="0" t="n">
        <v>2064</v>
      </c>
      <c r="X56" s="11" t="n">
        <f aca="false">IFERROR(LOOKUP(IF(W56="",G56,W56),{0,1,10,25,50,100,250,500},{0,6.85,6.46,5.18,4.92,4.52,4.28,4.15}),"")</f>
        <v>6.85</v>
      </c>
      <c r="Y56" s="11" t="n">
        <f aca="false">IFERROR(IF(W56="",G56,W56)*X56,"")</f>
        <v>34.25</v>
      </c>
      <c r="Z56" s="0" t="s">
        <v>259</v>
      </c>
      <c r="AA56" s="12" t="s">
        <v>25</v>
      </c>
    </row>
    <row r="57" customFormat="false" ht="14.9" hidden="false" customHeight="false" outlineLevel="0" collapsed="false">
      <c r="A57" s="0" t="s">
        <v>260</v>
      </c>
      <c r="B57" s="1" t="s">
        <v>261</v>
      </c>
      <c r="D57" s="0" t="s">
        <v>262</v>
      </c>
      <c r="F57" s="1" t="s">
        <v>263</v>
      </c>
      <c r="G57" s="0" t="n">
        <f aca="false">BoardQty*1</f>
        <v>5</v>
      </c>
      <c r="H57" s="11" t="n">
        <f aca="true">MINA(INDIRECT(ADDRESS(ROW(),COLUMN(newark_part_data)+2)),INDIRECT(ADDRESS(ROW(),COLUMN(digikey_part_data)+2)),INDIRECT(ADDRESS(ROW(),COLUMN(mouser_part_data)+2)))</f>
        <v>0.3</v>
      </c>
      <c r="I57" s="11" t="n">
        <f aca="false">IFERROR(G57*H57,"")</f>
        <v>1.5</v>
      </c>
      <c r="J57" s="0" t="n">
        <v>25604</v>
      </c>
      <c r="L57" s="11" t="n">
        <f aca="false">IFERROR(LOOKUP(IF(K57="",G57,K57),{0,1,10,25,50,100,250,500,1200,6000},{0,0.3,0.288,0.2784,0.2684,0.2535,0.23856,0.22862,0.15814,0.13103}),"")</f>
        <v>0.3</v>
      </c>
      <c r="M57" s="11" t="n">
        <f aca="false">IFERROR(IF(K57="",G57,K57)*L57,"")</f>
        <v>1.5</v>
      </c>
      <c r="N57" s="0" t="s">
        <v>264</v>
      </c>
      <c r="O57" s="12" t="s">
        <v>25</v>
      </c>
      <c r="AA57" s="12" t="s">
        <v>25</v>
      </c>
    </row>
    <row r="58" customFormat="false" ht="14.9" hidden="false" customHeight="false" outlineLevel="0" collapsed="false">
      <c r="A58" s="0" t="s">
        <v>265</v>
      </c>
      <c r="B58" s="1" t="s">
        <v>126</v>
      </c>
      <c r="D58" s="0" t="s">
        <v>127</v>
      </c>
      <c r="F58" s="1" t="s">
        <v>128</v>
      </c>
      <c r="G58" s="0" t="n">
        <f aca="false">BoardQty*2</f>
        <v>10</v>
      </c>
      <c r="H58" s="11" t="n">
        <f aca="true">MINA(INDIRECT(ADDRESS(ROW(),COLUMN(newark_part_data)+2)),INDIRECT(ADDRESS(ROW(),COLUMN(digikey_part_data)+2)),INDIRECT(ADDRESS(ROW(),COLUMN(mouser_part_data)+2)))</f>
        <v>0.048</v>
      </c>
      <c r="I58" s="11" t="n">
        <f aca="false">IFERROR(G58*H58,"")</f>
        <v>0.48</v>
      </c>
      <c r="J58" s="0" t="n">
        <v>14158</v>
      </c>
      <c r="L58" s="11" t="n">
        <f aca="false">IFERROR(LOOKUP(IF(K58="",G58,K58),{0,1,10,50,100,250,500,1000,4000,8000,12000,28000,100000},{0,0.1,0.048,0.026,0.022,0.018,0.0154,0.012,0.0092,0.0084,0.008,0.0076,0.0055}),"")</f>
        <v>0.048</v>
      </c>
      <c r="M58" s="11" t="n">
        <f aca="false">IFERROR(IF(K58="",G58,K58)*L58,"")</f>
        <v>0.48</v>
      </c>
      <c r="N58" s="0" t="s">
        <v>129</v>
      </c>
      <c r="O58" s="12" t="s">
        <v>25</v>
      </c>
      <c r="AA58" s="12" t="s">
        <v>25</v>
      </c>
    </row>
    <row r="59" customFormat="false" ht="14.9" hidden="false" customHeight="false" outlineLevel="0" collapsed="false">
      <c r="A59" s="0" t="s">
        <v>266</v>
      </c>
      <c r="B59" s="1" t="s">
        <v>267</v>
      </c>
      <c r="D59" s="0" t="s">
        <v>22</v>
      </c>
      <c r="F59" s="1" t="s">
        <v>268</v>
      </c>
      <c r="G59" s="0" t="n">
        <f aca="false">BoardQty*1</f>
        <v>5</v>
      </c>
      <c r="H59" s="11" t="n">
        <f aca="true">MINA(INDIRECT(ADDRESS(ROW(),COLUMN(newark_part_data)+2)),INDIRECT(ADDRESS(ROW(),COLUMN(digikey_part_data)+2)),INDIRECT(ADDRESS(ROW(),COLUMN(mouser_part_data)+2)))</f>
        <v>0.093</v>
      </c>
      <c r="I59" s="11" t="n">
        <f aca="false">IFERROR(G59*H59,"")</f>
        <v>0.465</v>
      </c>
      <c r="J59" s="0" t="n">
        <v>55749</v>
      </c>
      <c r="L59" s="11" t="n">
        <f aca="false">IFERROR(LOOKUP(IF(K59="",G59,K59),{0,1,50,100,250,500,1000,5000,10000,25000,50000,125000},{0,0.1,0.0114,0.0084,0.00644,0.00514,0.00379,0.00247,0.00215,0.00189,0.00173,0.00169}),"")</f>
        <v>0.1</v>
      </c>
      <c r="M59" s="11" t="n">
        <f aca="false">IFERROR(IF(K59="",G59,K59)*L59,"")</f>
        <v>0.5</v>
      </c>
      <c r="N59" s="0" t="s">
        <v>269</v>
      </c>
      <c r="O59" s="12" t="s">
        <v>25</v>
      </c>
      <c r="V59" s="0" t="n">
        <v>5053</v>
      </c>
      <c r="X59" s="11" t="n">
        <f aca="false">IFERROR(LOOKUP(IF(W59="",G59,W59),{0,1,50,100,250,500,1000,2500},{0,0.093,0.014,0.011,0.008,0.006,0.004,0.003}),"")</f>
        <v>0.093</v>
      </c>
      <c r="Y59" s="11" t="n">
        <f aca="false">IFERROR(IF(W59="",G59,W59)*X59,"")</f>
        <v>0.465</v>
      </c>
      <c r="Z59" s="0" t="s">
        <v>270</v>
      </c>
      <c r="AA59" s="12" t="s">
        <v>25</v>
      </c>
    </row>
    <row r="60" customFormat="false" ht="14.9" hidden="false" customHeight="false" outlineLevel="0" collapsed="false">
      <c r="A60" s="0" t="s">
        <v>271</v>
      </c>
      <c r="B60" s="1" t="s">
        <v>272</v>
      </c>
      <c r="D60" s="0" t="s">
        <v>273</v>
      </c>
      <c r="F60" s="1" t="s">
        <v>274</v>
      </c>
      <c r="G60" s="0" t="n">
        <f aca="false">BoardQty*1</f>
        <v>5</v>
      </c>
      <c r="H60" s="11" t="n">
        <f aca="true">MINA(INDIRECT(ADDRESS(ROW(),COLUMN(newark_part_data)+2)),INDIRECT(ADDRESS(ROW(),COLUMN(digikey_part_data)+2)),INDIRECT(ADDRESS(ROW(),COLUMN(mouser_part_data)+2)))</f>
        <v>0.114</v>
      </c>
      <c r="I60" s="11" t="n">
        <f aca="false">IFERROR(G60*H60,"")</f>
        <v>0.57</v>
      </c>
      <c r="J60" s="0" t="n">
        <v>990979</v>
      </c>
      <c r="L60" s="11" t="n">
        <f aca="false">IFERROR(LOOKUP(IF(K60="",G60,K60),{0,1,10,25,100,250,500,1000,2500,5000,10000,25000,50000,125000},{0,0.29,0.211,0.1556,0.1111,0.07556,0.06666,0.05222,0.05111,0.0404,0.03636,0.03232,0.02929,0.02727}),"")</f>
        <v>0.29</v>
      </c>
      <c r="M60" s="11" t="n">
        <f aca="false">IFERROR(IF(K60="",G60,K60)*L60,"")</f>
        <v>1.45</v>
      </c>
      <c r="N60" s="0" t="s">
        <v>275</v>
      </c>
      <c r="O60" s="12" t="s">
        <v>25</v>
      </c>
      <c r="V60" s="0" t="n">
        <v>15000</v>
      </c>
      <c r="X60" s="11" t="n">
        <f aca="false">IFERROR(LOOKUP(IF(W60="",G60,W60),{0,1,3000,6000,9000},{0,0.114,0.114,0.105,0.096}),"")</f>
        <v>0.114</v>
      </c>
      <c r="Y60" s="11" t="n">
        <f aca="false">IFERROR(IF(W60="",G60,W60)*X60,"")</f>
        <v>0.57</v>
      </c>
      <c r="Z60" s="0" t="s">
        <v>276</v>
      </c>
      <c r="AA60" s="12" t="s">
        <v>25</v>
      </c>
    </row>
    <row r="61" customFormat="false" ht="14.9" hidden="false" customHeight="false" outlineLevel="0" collapsed="false">
      <c r="A61" s="0" t="s">
        <v>277</v>
      </c>
      <c r="B61" s="1" t="s">
        <v>278</v>
      </c>
      <c r="D61" s="0" t="s">
        <v>279</v>
      </c>
      <c r="F61" s="1" t="s">
        <v>280</v>
      </c>
      <c r="G61" s="0" t="n">
        <f aca="false">BoardQty*3</f>
        <v>15</v>
      </c>
      <c r="H61" s="11" t="n">
        <f aca="true">MINA(INDIRECT(ADDRESS(ROW(),COLUMN(newark_part_data)+2)),INDIRECT(ADDRESS(ROW(),COLUMN(digikey_part_data)+2)),INDIRECT(ADDRESS(ROW(),COLUMN(mouser_part_data)+2)))</f>
        <v>0.343</v>
      </c>
      <c r="I61" s="11" t="n">
        <f aca="false">IFERROR(G61*H61,"")</f>
        <v>5.145</v>
      </c>
      <c r="J61" s="0" t="n">
        <v>5516</v>
      </c>
      <c r="L61" s="11" t="n">
        <f aca="false">IFERROR(LOOKUP(IF(K61="",G61,K61),{0,1,10,100,500,1000,2500,5000,12500,25000,62500,125000},{0,0.46,0.374,0.2551,0.19094,0.14301,0.12754,0.11982,0.11208,0.10281,0.09894,0.09508}),"")</f>
        <v>0.374</v>
      </c>
      <c r="M61" s="11" t="n">
        <f aca="false">IFERROR(IF(K61="",G61,K61)*L61,"")</f>
        <v>5.61</v>
      </c>
      <c r="N61" s="0" t="s">
        <v>281</v>
      </c>
      <c r="O61" s="12" t="s">
        <v>25</v>
      </c>
      <c r="V61" s="0" t="n">
        <v>4745</v>
      </c>
      <c r="X61" s="11" t="n">
        <f aca="false">IFERROR(LOOKUP(IF(W61="",G61,W61),{0,1,10,100,1000},{0,0.511,0.343,0.191,0.14}),"")</f>
        <v>0.343</v>
      </c>
      <c r="Y61" s="11" t="n">
        <f aca="false">IFERROR(IF(W61="",G61,W61)*X61,"")</f>
        <v>5.145</v>
      </c>
      <c r="Z61" s="0" t="s">
        <v>282</v>
      </c>
      <c r="AA61" s="12" t="s">
        <v>25</v>
      </c>
    </row>
    <row r="62" customFormat="false" ht="14.9" hidden="false" customHeight="false" outlineLevel="0" collapsed="false">
      <c r="A62" s="0" t="s">
        <v>283</v>
      </c>
      <c r="B62" s="1" t="s">
        <v>284</v>
      </c>
      <c r="D62" s="0" t="s">
        <v>22</v>
      </c>
      <c r="F62" s="1" t="s">
        <v>219</v>
      </c>
      <c r="G62" s="0" t="n">
        <f aca="false">BoardQty*1</f>
        <v>5</v>
      </c>
      <c r="H62" s="11" t="n">
        <f aca="true">MINA(INDIRECT(ADDRESS(ROW(),COLUMN(newark_part_data)+2)),INDIRECT(ADDRESS(ROW(),COLUMN(digikey_part_data)+2)),INDIRECT(ADDRESS(ROW(),COLUMN(mouser_part_data)+2)))</f>
        <v>0.63</v>
      </c>
      <c r="I62" s="11" t="n">
        <f aca="false">IFERROR(G62*H62,"")</f>
        <v>3.15</v>
      </c>
      <c r="J62" s="0" t="n">
        <v>80887</v>
      </c>
      <c r="L62" s="11" t="n">
        <f aca="false">IFERROR(LOOKUP(IF(K62="",G62,K62),{0,1,50,100,250,500,1000,5000,10000,25000,50000,125000},{0,0.63,0.2494,0.1924,0.14964,0.10546,0.07695,0.04275,0.0399,0.03791,0.03714,0.03634}),"")</f>
        <v>0.63</v>
      </c>
      <c r="M62" s="11" t="n">
        <f aca="false">IFERROR(IF(K62="",G62,K62)*L62,"")</f>
        <v>3.15</v>
      </c>
      <c r="N62" s="0" t="s">
        <v>220</v>
      </c>
      <c r="O62" s="12" t="s">
        <v>25</v>
      </c>
      <c r="V62" s="0" t="n">
        <v>2473</v>
      </c>
      <c r="X62" s="11" t="n">
        <f aca="false">IFERROR(LOOKUP(IF(W62="",G62,W62),{0,1,50,100,250,500,1000},{0,0.631,0.249,0.192,0.149,0.105,0.077}),"")</f>
        <v>0.631</v>
      </c>
      <c r="Y62" s="11" t="n">
        <f aca="false">IFERROR(IF(W62="",G62,W62)*X62,"")</f>
        <v>3.155</v>
      </c>
      <c r="Z62" s="0" t="s">
        <v>221</v>
      </c>
      <c r="AA62" s="12" t="s">
        <v>25</v>
      </c>
    </row>
    <row r="63" customFormat="false" ht="14.9" hidden="false" customHeight="false" outlineLevel="0" collapsed="false">
      <c r="A63" s="0" t="s">
        <v>285</v>
      </c>
      <c r="B63" s="1" t="s">
        <v>286</v>
      </c>
      <c r="D63" s="0" t="s">
        <v>287</v>
      </c>
      <c r="F63" s="1" t="s">
        <v>288</v>
      </c>
      <c r="G63" s="0" t="n">
        <f aca="false">BoardQty*1</f>
        <v>5</v>
      </c>
      <c r="H63" s="11" t="n">
        <f aca="true">MINA(INDIRECT(ADDRESS(ROW(),COLUMN(newark_part_data)+2)),INDIRECT(ADDRESS(ROW(),COLUMN(digikey_part_data)+2)),INDIRECT(ADDRESS(ROW(),COLUMN(mouser_part_data)+2)))</f>
        <v>1.79</v>
      </c>
      <c r="I63" s="11" t="n">
        <f aca="false">IFERROR(G63*H63,"")</f>
        <v>8.95</v>
      </c>
      <c r="J63" s="0" t="n">
        <v>15108</v>
      </c>
      <c r="L63" s="11" t="n">
        <f aca="false">IFERROR(LOOKUP(IF(K63="",G63,K63),{0,1,10,100,500,1000,2000},{0,1.88,1.693,1.3578,1.116,0.775,0.775}),"")</f>
        <v>1.88</v>
      </c>
      <c r="M63" s="11" t="n">
        <f aca="false">IFERROR(IF(K63="",G63,K63)*L63,"")</f>
        <v>9.4</v>
      </c>
      <c r="N63" s="0" t="s">
        <v>289</v>
      </c>
      <c r="O63" s="12" t="s">
        <v>25</v>
      </c>
      <c r="V63" s="0" t="n">
        <v>2203</v>
      </c>
      <c r="X63" s="11" t="n">
        <f aca="false">IFERROR(LOOKUP(IF(W63="",G63,W63),{0,1,10,100,500,1000},{0,1.79,1.55,1.24,1.09,0.893}),"")</f>
        <v>1.79</v>
      </c>
      <c r="Y63" s="11" t="n">
        <f aca="false">IFERROR(IF(W63="",G63,W63)*X63,"")</f>
        <v>8.95</v>
      </c>
      <c r="Z63" s="0" t="s">
        <v>290</v>
      </c>
      <c r="AA63" s="12" t="s">
        <v>25</v>
      </c>
    </row>
    <row r="64" customFormat="false" ht="14.9" hidden="false" customHeight="false" outlineLevel="0" collapsed="false">
      <c r="A64" s="0" t="s">
        <v>291</v>
      </c>
      <c r="B64" s="1" t="s">
        <v>292</v>
      </c>
      <c r="D64" s="0" t="s">
        <v>110</v>
      </c>
      <c r="F64" s="1" t="s">
        <v>293</v>
      </c>
      <c r="G64" s="0" t="n">
        <f aca="false">BoardQty*8</f>
        <v>40</v>
      </c>
      <c r="H64" s="11" t="n">
        <f aca="true">MINA(INDIRECT(ADDRESS(ROW(),COLUMN(newark_part_data)+2)),INDIRECT(ADDRESS(ROW(),COLUMN(digikey_part_data)+2)),INDIRECT(ADDRESS(ROW(),COLUMN(mouser_part_data)+2)))</f>
        <v>0.041</v>
      </c>
      <c r="I64" s="11" t="n">
        <f aca="false">IFERROR(G64*H64,"")</f>
        <v>1.64</v>
      </c>
      <c r="J64" s="0" t="n">
        <v>2332603</v>
      </c>
      <c r="L64" s="11" t="n">
        <f aca="false">IFERROR(LOOKUP(IF(K64="",G64,K64),{0,1,10,50,100,250,500,1000,4000,8000,12000,28000,100000},{0,0.1,0.041,0.0222,0.0187,0.01532,0.0131,0.0102,0.00782,0.00714,0.0068,0.00646,0.00468}),"")</f>
        <v>0.041</v>
      </c>
      <c r="M64" s="11" t="n">
        <f aca="false">IFERROR(IF(K64="",G64,K64)*L64,"")</f>
        <v>1.64</v>
      </c>
      <c r="N64" s="0" t="s">
        <v>294</v>
      </c>
      <c r="O64" s="12" t="s">
        <v>25</v>
      </c>
      <c r="AA64" s="12" t="s">
        <v>25</v>
      </c>
    </row>
    <row r="65" customFormat="false" ht="14.9" hidden="false" customHeight="false" outlineLevel="0" collapsed="false">
      <c r="A65" s="0" t="s">
        <v>295</v>
      </c>
      <c r="B65" s="1" t="s">
        <v>296</v>
      </c>
      <c r="D65" s="0" t="s">
        <v>22</v>
      </c>
      <c r="F65" s="1" t="s">
        <v>80</v>
      </c>
      <c r="G65" s="0" t="n">
        <f aca="false">BoardQty*1</f>
        <v>5</v>
      </c>
      <c r="H65" s="11" t="n">
        <f aca="true">MINA(INDIRECT(ADDRESS(ROW(),COLUMN(newark_part_data)+2)),INDIRECT(ADDRESS(ROW(),COLUMN(digikey_part_data)+2)),INDIRECT(ADDRESS(ROW(),COLUMN(mouser_part_data)+2)))</f>
        <v>0.009</v>
      </c>
      <c r="I65" s="11" t="n">
        <f aca="false">IFERROR(G65*H65,"")</f>
        <v>0.045</v>
      </c>
      <c r="J65" s="0" t="n">
        <v>1858418</v>
      </c>
      <c r="L65" s="11" t="n">
        <f aca="false">IFERROR(LOOKUP(IF(K65="",G65,K65),{0,1,10,25,100,250,500,1000,2500,5000,10000,25000,50000,125000},{0,0.1,0.011,0.008,0.0044,0.00336,0.0027,0.00198,0.00172,0.00129,0.00112,0.00099,0.0009,0.00089}),"")</f>
        <v>0.1</v>
      </c>
      <c r="M65" s="11" t="n">
        <f aca="false">IFERROR(IF(K65="",G65,K65)*L65,"")</f>
        <v>0.5</v>
      </c>
      <c r="N65" s="0" t="s">
        <v>78</v>
      </c>
      <c r="O65" s="12" t="s">
        <v>25</v>
      </c>
      <c r="V65" s="0" t="n">
        <v>23913</v>
      </c>
      <c r="X65" s="11" t="n">
        <f aca="false">IFERROR(LOOKUP(IF(W65="",G65,W65),{0,1,10,25,100,250,1000},{0,0.009,0.009,0.008,0.005,0.004,0.003}),"")</f>
        <v>0.009</v>
      </c>
      <c r="Y65" s="11" t="n">
        <f aca="false">IFERROR(IF(W65="",G65,W65)*X65,"")</f>
        <v>0.045</v>
      </c>
      <c r="Z65" s="0" t="s">
        <v>82</v>
      </c>
      <c r="AA65" s="12" t="s">
        <v>25</v>
      </c>
    </row>
    <row r="66" customFormat="false" ht="14.9" hidden="false" customHeight="false" outlineLevel="0" collapsed="false">
      <c r="A66" s="0" t="s">
        <v>297</v>
      </c>
      <c r="B66" s="1" t="s">
        <v>298</v>
      </c>
      <c r="D66" s="0" t="s">
        <v>22</v>
      </c>
      <c r="F66" s="1" t="s">
        <v>299</v>
      </c>
      <c r="G66" s="0" t="n">
        <f aca="false">BoardQty*1</f>
        <v>5</v>
      </c>
      <c r="H66" s="11" t="n">
        <f aca="true">MINA(INDIRECT(ADDRESS(ROW(),COLUMN(newark_part_data)+2)),INDIRECT(ADDRESS(ROW(),COLUMN(digikey_part_data)+2)),INDIRECT(ADDRESS(ROW(),COLUMN(mouser_part_data)+2)))</f>
        <v>0.1</v>
      </c>
      <c r="I66" s="11" t="n">
        <f aca="false">IFERROR(G66*H66,"")</f>
        <v>0.5</v>
      </c>
      <c r="J66" s="0" t="n">
        <v>240614</v>
      </c>
      <c r="L66" s="11" t="n">
        <f aca="false">IFERROR(LOOKUP(IF(K66="",G66,K66),{0,1,10,25,100,250,500,1000,2500,5000,10000,25000,50000,125000},{0,0.1,0.014,0.01,0.0057,0.00436,0.00348,0.00257,0.00223,0.00167,0.00145,0.00128,0.00117,0.00115}),"")</f>
        <v>0.1</v>
      </c>
      <c r="M66" s="11" t="n">
        <f aca="false">IFERROR(IF(K66="",G66,K66)*L66,"")</f>
        <v>0.5</v>
      </c>
      <c r="N66" s="0" t="s">
        <v>300</v>
      </c>
      <c r="O66" s="12" t="s">
        <v>25</v>
      </c>
      <c r="AA66" s="12" t="s">
        <v>25</v>
      </c>
    </row>
    <row r="67" customFormat="false" ht="13.8" hidden="false" customHeight="false" outlineLevel="0" collapsed="false">
      <c r="A67" s="0" t="s">
        <v>301</v>
      </c>
      <c r="B67" s="1" t="s">
        <v>302</v>
      </c>
      <c r="D67" s="0" t="s">
        <v>303</v>
      </c>
      <c r="G67" s="0" t="n">
        <f aca="false">BoardQty*1</f>
        <v>5</v>
      </c>
      <c r="H67" s="11" t="n">
        <f aca="true">MINA(INDIRECT(ADDRESS(ROW(),COLUMN(newark_part_data)+2)),INDIRECT(ADDRESS(ROW(),COLUMN(digikey_part_data)+2)),INDIRECT(ADDRESS(ROW(),COLUMN(mouser_part_data)+2)))</f>
        <v>0</v>
      </c>
      <c r="I67" s="11" t="n">
        <f aca="false">IFERROR(G67*H67,"")</f>
        <v>0</v>
      </c>
    </row>
    <row r="68" customFormat="false" ht="14.9" hidden="false" customHeight="false" outlineLevel="0" collapsed="false">
      <c r="A68" s="0" t="s">
        <v>304</v>
      </c>
      <c r="B68" s="1" t="s">
        <v>305</v>
      </c>
      <c r="D68" s="0" t="s">
        <v>306</v>
      </c>
      <c r="F68" s="1" t="s">
        <v>307</v>
      </c>
      <c r="G68" s="0" t="n">
        <f aca="false">BoardQty*1</f>
        <v>5</v>
      </c>
      <c r="H68" s="11" t="n">
        <f aca="true">MINA(INDIRECT(ADDRESS(ROW(),COLUMN(newark_part_data)+2)),INDIRECT(ADDRESS(ROW(),COLUMN(digikey_part_data)+2)),INDIRECT(ADDRESS(ROW(),COLUMN(mouser_part_data)+2)))</f>
        <v>0.23</v>
      </c>
      <c r="I68" s="11" t="n">
        <f aca="false">IFERROR(G68*H68,"")</f>
        <v>1.15</v>
      </c>
      <c r="J68" s="0" t="n">
        <v>17847</v>
      </c>
      <c r="L68" s="11" t="n">
        <f aca="false">IFERROR(LOOKUP(IF(K68="",G68,K68),{0,1,10,100,500,1000,3000,6000,15000,20000,30000,75000,150000},{0,0.23,0.192,0.1016,0.06678,0.0455,0.03979,0.0346,0.02941,0.02941,0.02768,0.02595,0.02249}),"")</f>
        <v>0.23</v>
      </c>
      <c r="M68" s="11" t="n">
        <f aca="false">IFERROR(IF(K68="",G68,K68)*L68,"")</f>
        <v>1.15</v>
      </c>
      <c r="N68" s="0" t="s">
        <v>308</v>
      </c>
      <c r="O68" s="12" t="s">
        <v>25</v>
      </c>
      <c r="V68" s="0" t="n">
        <v>8706</v>
      </c>
      <c r="X68" s="11" t="n">
        <f aca="false">IFERROR(LOOKUP(IF(W68="",G68,W68),{0,1,10,100,1000},{0,0.24,0.16,0.067,0.046}),"")</f>
        <v>0.24</v>
      </c>
      <c r="Y68" s="11" t="n">
        <f aca="false">IFERROR(IF(W68="",G68,W68)*X68,"")</f>
        <v>1.2</v>
      </c>
      <c r="Z68" s="0" t="s">
        <v>309</v>
      </c>
      <c r="AA68" s="12" t="s">
        <v>25</v>
      </c>
    </row>
    <row r="69" customFormat="false" ht="14.9" hidden="false" customHeight="false" outlineLevel="0" collapsed="false">
      <c r="A69" s="0" t="s">
        <v>310</v>
      </c>
      <c r="B69" s="1" t="s">
        <v>311</v>
      </c>
      <c r="D69" s="0" t="s">
        <v>22</v>
      </c>
      <c r="F69" s="1" t="s">
        <v>312</v>
      </c>
      <c r="G69" s="0" t="n">
        <f aca="false">BoardQty*1</f>
        <v>5</v>
      </c>
      <c r="H69" s="11" t="n">
        <f aca="true">MINA(INDIRECT(ADDRESS(ROW(),COLUMN(newark_part_data)+2)),INDIRECT(ADDRESS(ROW(),COLUMN(digikey_part_data)+2)),INDIRECT(ADDRESS(ROW(),COLUMN(mouser_part_data)+2)))</f>
        <v>0.06</v>
      </c>
      <c r="I69" s="11" t="n">
        <f aca="false">IFERROR(G69*H69,"")</f>
        <v>0.3</v>
      </c>
      <c r="J69" s="0" t="n">
        <v>542633</v>
      </c>
      <c r="L69" s="11" t="n">
        <f aca="false">IFERROR(LOOKUP(IF(K69="",G69,K69),{0,1,10,25,100,250,500,1000,2500,5000,10000,25000,50000,125000},{0,0.1,0.011,0.008,0.0044,0.00336,0.0027,0.00198,0.00172,0.00129,0.00112,0.00099,0.0009,0.00089}),"")</f>
        <v>0.1</v>
      </c>
      <c r="M69" s="11" t="n">
        <f aca="false">IFERROR(IF(K69="",G69,K69)*L69,"")</f>
        <v>0.5</v>
      </c>
      <c r="N69" s="0" t="s">
        <v>313</v>
      </c>
      <c r="O69" s="12" t="s">
        <v>25</v>
      </c>
      <c r="V69" s="0" t="n">
        <v>922</v>
      </c>
      <c r="X69" s="11" t="n">
        <f aca="false">IFERROR(LOOKUP(IF(W69="",G69,W69),{0,1,10,25,100,250,1000},{0,0.06,0.01,0.007,0.004,0.003,0.002}),"")</f>
        <v>0.06</v>
      </c>
      <c r="Y69" s="11" t="n">
        <f aca="false">IFERROR(IF(W69="",G69,W69)*X69,"")</f>
        <v>0.3</v>
      </c>
      <c r="Z69" s="0" t="s">
        <v>314</v>
      </c>
      <c r="AA69" s="12" t="s">
        <v>25</v>
      </c>
    </row>
    <row r="70" customFormat="false" ht="14.9" hidden="false" customHeight="false" outlineLevel="0" collapsed="false">
      <c r="A70" s="0" t="s">
        <v>315</v>
      </c>
      <c r="B70" s="1" t="s">
        <v>316</v>
      </c>
      <c r="D70" s="0" t="s">
        <v>110</v>
      </c>
      <c r="F70" s="1" t="s">
        <v>317</v>
      </c>
      <c r="G70" s="0" t="n">
        <f aca="false">BoardQty*4</f>
        <v>20</v>
      </c>
      <c r="H70" s="11" t="n">
        <f aca="true">MINA(INDIRECT(ADDRESS(ROW(),COLUMN(newark_part_data)+2)),INDIRECT(ADDRESS(ROW(),COLUMN(digikey_part_data)+2)),INDIRECT(ADDRESS(ROW(),COLUMN(mouser_part_data)+2)))</f>
        <v>0.024</v>
      </c>
      <c r="I70" s="11" t="n">
        <f aca="false">IFERROR(G70*H70,"")</f>
        <v>0.48</v>
      </c>
      <c r="J70" s="0" t="n">
        <v>655850</v>
      </c>
      <c r="L70" s="11" t="n">
        <f aca="false">IFERROR(LOOKUP(IF(K70="",G70,K70),{0,1,10,50,100,250,500,1000,4000,8000,12000,28000,100000},{0,0.1,0.024,0.013,0.011,0.009,0.0077,0.006,0.0046,0.0042,0.004,0.0038,0.00275}),"")</f>
        <v>0.024</v>
      </c>
      <c r="M70" s="11" t="n">
        <f aca="false">IFERROR(IF(K70="",G70,K70)*L70,"")</f>
        <v>0.48</v>
      </c>
      <c r="N70" s="0" t="s">
        <v>318</v>
      </c>
      <c r="O70" s="12" t="s">
        <v>25</v>
      </c>
      <c r="V70" s="0" t="n">
        <v>10071</v>
      </c>
      <c r="X70" s="11" t="n">
        <f aca="false">IFERROR(LOOKUP(IF(W70="",G70,W70),{0,1,10,25,50,100,250,1000},{0,0.1,0.024,0.015,0.012,0.01,0.009,0.006}),"")</f>
        <v>0.024</v>
      </c>
      <c r="Y70" s="11" t="n">
        <f aca="false">IFERROR(IF(W70="",G70,W70)*X70,"")</f>
        <v>0.48</v>
      </c>
      <c r="Z70" s="0" t="s">
        <v>319</v>
      </c>
      <c r="AA70" s="12" t="s">
        <v>25</v>
      </c>
    </row>
    <row r="71" customFormat="false" ht="14.9" hidden="false" customHeight="false" outlineLevel="0" collapsed="false">
      <c r="A71" s="0" t="s">
        <v>320</v>
      </c>
      <c r="B71" s="1" t="s">
        <v>321</v>
      </c>
      <c r="D71" s="0" t="s">
        <v>22</v>
      </c>
      <c r="F71" s="1" t="s">
        <v>322</v>
      </c>
      <c r="G71" s="0" t="n">
        <f aca="false">BoardQty*2</f>
        <v>10</v>
      </c>
      <c r="H71" s="11" t="n">
        <f aca="true">MINA(INDIRECT(ADDRESS(ROW(),COLUMN(newark_part_data)+2)),INDIRECT(ADDRESS(ROW(),COLUMN(digikey_part_data)+2)),INDIRECT(ADDRESS(ROW(),COLUMN(mouser_part_data)+2)))</f>
        <v>0.303</v>
      </c>
      <c r="I71" s="11" t="n">
        <f aca="false">IFERROR(G71*H71,"")</f>
        <v>3.03</v>
      </c>
      <c r="J71" s="0" t="n">
        <v>30257</v>
      </c>
      <c r="L71" s="11" t="n">
        <f aca="false">IFERROR(LOOKUP(IF(K71="",G71,K71),{0,1,10,25,50,100,250,500,1000,5000,10000,25000,50000,125000},{0,0.4,0.303,0.2304,0.1712,0.1273,0.10752,0.09216,0.07022,0.05686,0.05426,0.05199,0.05087,0.04988}),"")</f>
        <v>0.303</v>
      </c>
      <c r="M71" s="11" t="n">
        <f aca="false">IFERROR(IF(K71="",G71,K71)*L71,"")</f>
        <v>3.03</v>
      </c>
      <c r="N71" s="0" t="s">
        <v>211</v>
      </c>
      <c r="O71" s="12" t="s">
        <v>25</v>
      </c>
      <c r="AA71" s="12" t="s">
        <v>25</v>
      </c>
    </row>
    <row r="72" customFormat="false" ht="13.8" hidden="false" customHeight="false" outlineLevel="0" collapsed="false">
      <c r="A72" s="0" t="s">
        <v>323</v>
      </c>
      <c r="B72" s="1" t="s">
        <v>324</v>
      </c>
      <c r="D72" s="0" t="s">
        <v>325</v>
      </c>
      <c r="G72" s="0" t="n">
        <f aca="false">BoardQty*1</f>
        <v>5</v>
      </c>
      <c r="H72" s="11" t="n">
        <f aca="true">MINA(INDIRECT(ADDRESS(ROW(),COLUMN(newark_part_data)+2)),INDIRECT(ADDRESS(ROW(),COLUMN(digikey_part_data)+2)),INDIRECT(ADDRESS(ROW(),COLUMN(mouser_part_data)+2)))</f>
        <v>0</v>
      </c>
      <c r="I72" s="11" t="n">
        <f aca="false">IFERROR(G72*H72,"")</f>
        <v>0</v>
      </c>
    </row>
    <row r="73" customFormat="false" ht="14.9" hidden="false" customHeight="false" outlineLevel="0" collapsed="false">
      <c r="A73" s="0" t="s">
        <v>326</v>
      </c>
      <c r="B73" s="1" t="s">
        <v>327</v>
      </c>
      <c r="D73" s="0" t="s">
        <v>22</v>
      </c>
      <c r="F73" s="1" t="s">
        <v>328</v>
      </c>
      <c r="G73" s="0" t="n">
        <f aca="false">BoardQty*1</f>
        <v>5</v>
      </c>
      <c r="H73" s="11" t="n">
        <f aca="true">MINA(INDIRECT(ADDRESS(ROW(),COLUMN(newark_part_data)+2)),INDIRECT(ADDRESS(ROW(),COLUMN(digikey_part_data)+2)),INDIRECT(ADDRESS(ROW(),COLUMN(mouser_part_data)+2)))</f>
        <v>0.1</v>
      </c>
      <c r="I73" s="11" t="n">
        <f aca="false">IFERROR(G73*H73,"")</f>
        <v>0.5</v>
      </c>
      <c r="J73" s="0" t="n">
        <v>193625</v>
      </c>
      <c r="L73" s="11" t="n">
        <f aca="false">IFERROR(LOOKUP(IF(K73="",G73,K73),{0,1,10,25,100,250,500,1000,2500,5000,10000,25000,50000,125000},{0,0.1,0.014,0.01,0.0057,0.00436,0.00348,0.00257,0.00223,0.00167,0.00145,0.00128,0.00117,0.00115}),"")</f>
        <v>0.1</v>
      </c>
      <c r="M73" s="11" t="n">
        <f aca="false">IFERROR(IF(K73="",G73,K73)*L73,"")</f>
        <v>0.5</v>
      </c>
      <c r="N73" s="0" t="s">
        <v>329</v>
      </c>
      <c r="O73" s="12" t="s">
        <v>25</v>
      </c>
      <c r="AA73" s="12" t="s">
        <v>25</v>
      </c>
    </row>
    <row r="74" customFormat="false" ht="14.9" hidden="false" customHeight="false" outlineLevel="0" collapsed="false">
      <c r="A74" s="0" t="s">
        <v>330</v>
      </c>
      <c r="B74" s="1" t="s">
        <v>331</v>
      </c>
      <c r="D74" s="0" t="s">
        <v>332</v>
      </c>
      <c r="F74" s="1" t="s">
        <v>333</v>
      </c>
      <c r="G74" s="0" t="n">
        <f aca="false">BoardQty*1</f>
        <v>5</v>
      </c>
      <c r="H74" s="11" t="n">
        <f aca="true">MINA(INDIRECT(ADDRESS(ROW(),COLUMN(newark_part_data)+2)),INDIRECT(ADDRESS(ROW(),COLUMN(digikey_part_data)+2)),INDIRECT(ADDRESS(ROW(),COLUMN(mouser_part_data)+2)))</f>
        <v>0.669</v>
      </c>
      <c r="I74" s="11" t="n">
        <f aca="false">IFERROR(G74*H74,"")</f>
        <v>3.345</v>
      </c>
      <c r="O74" s="12" t="s">
        <v>25</v>
      </c>
      <c r="V74" s="0" t="n">
        <v>2268</v>
      </c>
      <c r="X74" s="11" t="n">
        <f aca="false">IFERROR(LOOKUP(IF(W74="",G74,W74),{0,1,10,100,1000},{0,0.669,0.521,0.336,0.269}),"")</f>
        <v>0.669</v>
      </c>
      <c r="Y74" s="11" t="n">
        <f aca="false">IFERROR(IF(W74="",G74,W74)*X74,"")</f>
        <v>3.345</v>
      </c>
      <c r="Z74" s="0" t="s">
        <v>334</v>
      </c>
      <c r="AA74" s="12" t="s">
        <v>25</v>
      </c>
    </row>
    <row r="75" customFormat="false" ht="14.9" hidden="false" customHeight="false" outlineLevel="0" collapsed="false">
      <c r="A75" s="0" t="s">
        <v>335</v>
      </c>
      <c r="B75" s="1" t="s">
        <v>336</v>
      </c>
      <c r="D75" s="0" t="s">
        <v>337</v>
      </c>
      <c r="F75" s="1" t="s">
        <v>338</v>
      </c>
      <c r="G75" s="0" t="n">
        <f aca="false">BoardQty*2</f>
        <v>10</v>
      </c>
      <c r="H75" s="11" t="n">
        <f aca="true">MINA(INDIRECT(ADDRESS(ROW(),COLUMN(newark_part_data)+2)),INDIRECT(ADDRESS(ROW(),COLUMN(digikey_part_data)+2)),INDIRECT(ADDRESS(ROW(),COLUMN(mouser_part_data)+2)))</f>
        <v>0.336</v>
      </c>
      <c r="I75" s="11" t="n">
        <f aca="false">IFERROR(G75*H75,"")</f>
        <v>3.36</v>
      </c>
      <c r="J75" s="0" t="n">
        <v>8072</v>
      </c>
      <c r="L75" s="11" t="n">
        <f aca="false">IFERROR(LOOKUP(IF(K75="",G75,K75),{0,1,10,100,500,1000,3000,6000,15000,30000,75000,150000},{0,0.42,0.336,0.229,0.17142,0.12839,0.11451,0.10757,0.10063,0.0923,0.08883,0.08536}),"")</f>
        <v>0.336</v>
      </c>
      <c r="M75" s="11" t="n">
        <f aca="false">IFERROR(IF(K75="",G75,K75)*L75,"")</f>
        <v>3.36</v>
      </c>
      <c r="N75" s="0" t="s">
        <v>339</v>
      </c>
      <c r="O75" s="12" t="s">
        <v>25</v>
      </c>
      <c r="V75" s="0" t="n">
        <v>6595</v>
      </c>
      <c r="X75" s="11" t="n">
        <f aca="false">IFERROR(LOOKUP(IF(W75="",G75,W75),{0,1,10,25,100,250,500,1000},{0,0.464,0.365,0.308,0.25,0.207,0.171,0.128}),"")</f>
        <v>0.365</v>
      </c>
      <c r="Y75" s="11" t="n">
        <f aca="false">IFERROR(IF(W75="",G75,W75)*X75,"")</f>
        <v>3.65</v>
      </c>
      <c r="Z75" s="0" t="s">
        <v>340</v>
      </c>
      <c r="AA75" s="12" t="s">
        <v>25</v>
      </c>
    </row>
    <row r="76" s="1" customFormat="true" ht="14.9" hidden="false" customHeight="false" outlineLevel="0" collapsed="false">
      <c r="A76" s="1" t="s">
        <v>341</v>
      </c>
      <c r="B76" s="1" t="s">
        <v>342</v>
      </c>
      <c r="D76" s="1" t="s">
        <v>343</v>
      </c>
      <c r="F76" s="1" t="s">
        <v>344</v>
      </c>
      <c r="G76" s="1" t="n">
        <f aca="false">BoardQty*1</f>
        <v>5</v>
      </c>
      <c r="H76" s="13" t="n">
        <f aca="true">MINA(INDIRECT(ADDRESS(ROW(),COLUMN(newark_part_data)+2)),INDIRECT(ADDRESS(ROW(),COLUMN(digikey_part_data)+2)),INDIRECT(ADDRESS(ROW(),COLUMN(mouser_part_data)+2)))</f>
        <v>4.77</v>
      </c>
      <c r="I76" s="13" t="n">
        <f aca="false">IFERROR(G76*H76,"")</f>
        <v>23.85</v>
      </c>
      <c r="J76" s="1" t="n">
        <v>2461</v>
      </c>
      <c r="L76" s="13" t="n">
        <f aca="false">IFERROR(LOOKUP(IF(K76="",G76,K76),{0,1,10,100,500,1000,2500,5000,12500},{0,4.91,4.41,3.618,2.988,2.52,2.394,2.304,2.25}),"")</f>
        <v>4.91</v>
      </c>
      <c r="M76" s="13" t="n">
        <f aca="false">IFERROR(IF(K76="",G76,K76)*L76,"")</f>
        <v>24.55</v>
      </c>
      <c r="N76" s="1" t="s">
        <v>345</v>
      </c>
      <c r="O76" s="12" t="s">
        <v>25</v>
      </c>
      <c r="V76" s="1" t="n">
        <v>448</v>
      </c>
      <c r="X76" s="13" t="n">
        <f aca="false">IFERROR(LOOKUP(IF(W76="",G76,W76),{0,1,10,25,50,100,250},{0,4.77,4.29,3.98,3.78,3.51,3.33}),"")</f>
        <v>4.77</v>
      </c>
      <c r="Y76" s="13" t="n">
        <f aca="false">IFERROR(IF(W76="",G76,W76)*X76,"")</f>
        <v>23.85</v>
      </c>
      <c r="Z76" s="1" t="s">
        <v>346</v>
      </c>
      <c r="AA76" s="12" t="s">
        <v>25</v>
      </c>
    </row>
    <row r="77" s="1" customFormat="true" ht="13.8" hidden="false" customHeight="false" outlineLevel="0" collapsed="false">
      <c r="A77" s="1" t="s">
        <v>347</v>
      </c>
      <c r="B77" s="1" t="s">
        <v>348</v>
      </c>
      <c r="G77" s="1" t="n">
        <f aca="false">BoardQty*1</f>
        <v>5</v>
      </c>
      <c r="H77" s="13" t="n">
        <f aca="true">MINA(INDIRECT(ADDRESS(ROW(),COLUMN(newark_part_data)+2)),INDIRECT(ADDRESS(ROW(),COLUMN(digikey_part_data)+2)),INDIRECT(ADDRESS(ROW(),COLUMN(mouser_part_data)+2)))</f>
        <v>0</v>
      </c>
      <c r="I77" s="13" t="n">
        <f aca="false">IFERROR(G77*H77,"")</f>
        <v>0</v>
      </c>
    </row>
    <row r="78" s="1" customFormat="true" ht="14.9" hidden="false" customHeight="false" outlineLevel="0" collapsed="false">
      <c r="A78" s="1" t="s">
        <v>349</v>
      </c>
      <c r="B78" s="1" t="s">
        <v>350</v>
      </c>
      <c r="D78" s="1" t="s">
        <v>59</v>
      </c>
      <c r="F78" s="1" t="s">
        <v>350</v>
      </c>
      <c r="G78" s="1" t="n">
        <f aca="false">BoardQty*1</f>
        <v>5</v>
      </c>
      <c r="H78" s="13" t="n">
        <f aca="true">MINA(INDIRECT(ADDRESS(ROW(),COLUMN(newark_part_data)+2)),INDIRECT(ADDRESS(ROW(),COLUMN(digikey_part_data)+2)),INDIRECT(ADDRESS(ROW(),COLUMN(mouser_part_data)+2)))</f>
        <v>1.98</v>
      </c>
      <c r="I78" s="13" t="n">
        <f aca="false">IFERROR(G78*H78,"")</f>
        <v>9.9</v>
      </c>
      <c r="J78" s="1" t="n">
        <v>4091</v>
      </c>
      <c r="L78" s="13" t="n">
        <f aca="false">IFERROR(LOOKUP(IF(K78="",G78,K78),{0,1,10,50,100,500,1000,3000,5000,10000},{0,1.98,1.898,1.8564,1.5876,1.5456,1.239,1.176,1.134,1.092}),"")</f>
        <v>1.98</v>
      </c>
      <c r="M78" s="13" t="n">
        <f aca="false">IFERROR(IF(K78="",G78,K78)*L78,"")</f>
        <v>9.9</v>
      </c>
      <c r="N78" s="1" t="s">
        <v>351</v>
      </c>
      <c r="O78" s="12" t="s">
        <v>25</v>
      </c>
    </row>
    <row r="79" s="1" customFormat="true" ht="14.9" hidden="false" customHeight="false" outlineLevel="0" collapsed="false">
      <c r="A79" s="1" t="s">
        <v>352</v>
      </c>
      <c r="B79" s="1" t="s">
        <v>353</v>
      </c>
      <c r="D79" s="1" t="s">
        <v>22</v>
      </c>
      <c r="F79" s="1" t="s">
        <v>354</v>
      </c>
      <c r="G79" s="1" t="n">
        <f aca="false">BoardQty*1</f>
        <v>5</v>
      </c>
      <c r="H79" s="13" t="n">
        <f aca="true">MINA(INDIRECT(ADDRESS(ROW(),COLUMN(newark_part_data)+2)),INDIRECT(ADDRESS(ROW(),COLUMN(digikey_part_data)+2)),INDIRECT(ADDRESS(ROW(),COLUMN(mouser_part_data)+2)))</f>
        <v>0.1</v>
      </c>
      <c r="I79" s="13" t="n">
        <f aca="false">IFERROR(G79*H79,"")</f>
        <v>0.5</v>
      </c>
      <c r="J79" s="1" t="n">
        <v>301929</v>
      </c>
      <c r="L79" s="13" t="n">
        <f aca="false">IFERROR(LOOKUP(IF(K79="",G79,K79),{0,1,10,25,100,250,500,1000,2500,5000,10000,25000,50000,125000},{0,0.1,0.011,0.008,0.0044,0.00336,0.0027,0.00198,0.00172,0.00129,0.00112,0.00099,0.0009,0.00089}),"")</f>
        <v>0.1</v>
      </c>
      <c r="M79" s="13" t="n">
        <f aca="false">IFERROR(IF(K79="",G79,K79)*L79,"")</f>
        <v>0.5</v>
      </c>
      <c r="N79" s="1" t="s">
        <v>354</v>
      </c>
      <c r="O79" s="12" t="s">
        <v>25</v>
      </c>
    </row>
    <row r="80" s="1" customFormat="true" ht="14.9" hidden="false" customHeight="false" outlineLevel="0" collapsed="false">
      <c r="A80" s="1" t="s">
        <v>355</v>
      </c>
      <c r="B80" s="1" t="s">
        <v>356</v>
      </c>
      <c r="D80" s="1" t="s">
        <v>357</v>
      </c>
      <c r="F80" s="1" t="s">
        <v>358</v>
      </c>
      <c r="G80" s="1" t="n">
        <f aca="false">BoardQty*1</f>
        <v>5</v>
      </c>
      <c r="H80" s="13" t="n">
        <f aca="true">MINA(INDIRECT(ADDRESS(ROW(),COLUMN(newark_part_data)+2)),INDIRECT(ADDRESS(ROW(),COLUMN(digikey_part_data)+2)),INDIRECT(ADDRESS(ROW(),COLUMN(mouser_part_data)+2)))</f>
        <v>0.47</v>
      </c>
      <c r="I80" s="13" t="n">
        <f aca="false">IFERROR(G80*H80,"")</f>
        <v>2.35</v>
      </c>
      <c r="J80" s="1" t="n">
        <v>80535</v>
      </c>
      <c r="L80" s="13" t="n">
        <f aca="false">IFERROR(LOOKUP(IF(K80="",G80,K80),{0,1,10,100,500,1000,3000,6000,15000,30000,75000,150000},{0,0.47,0.352,0.2195,0.15008,0.11536,0.1008,0.0952,0.0868,0.0812,0.0728,0.07}),"")</f>
        <v>0.47</v>
      </c>
      <c r="M80" s="13" t="n">
        <f aca="false">IFERROR(IF(K80="",G80,K80)*L80,"")</f>
        <v>2.35</v>
      </c>
      <c r="N80" s="1" t="s">
        <v>359</v>
      </c>
      <c r="O80" s="12" t="s">
        <v>25</v>
      </c>
      <c r="V80" s="1" t="n">
        <v>6344</v>
      </c>
      <c r="X80" s="13" t="n">
        <f aca="false">IFERROR(LOOKUP(IF(W80="",G80,W80),{0,1,10,25,100,250,500,1000},{0,0.551,0.387,0.317,0.254,0.185,0.15,0.116}),"")</f>
        <v>0.551</v>
      </c>
      <c r="Y80" s="13" t="n">
        <f aca="false">IFERROR(IF(W80="",G80,W80)*X80,"")</f>
        <v>2.755</v>
      </c>
      <c r="Z80" s="1" t="s">
        <v>360</v>
      </c>
      <c r="AA80" s="12" t="s">
        <v>25</v>
      </c>
    </row>
    <row r="81" s="1" customFormat="true" ht="14.9" hidden="false" customHeight="false" outlineLevel="0" collapsed="false">
      <c r="A81" s="1" t="s">
        <v>361</v>
      </c>
      <c r="B81" s="1" t="s">
        <v>362</v>
      </c>
      <c r="D81" s="1" t="s">
        <v>256</v>
      </c>
      <c r="F81" s="1" t="s">
        <v>363</v>
      </c>
      <c r="G81" s="1" t="n">
        <f aca="false">BoardQty*1</f>
        <v>5</v>
      </c>
      <c r="H81" s="13" t="n">
        <f aca="true">MINA(INDIRECT(ADDRESS(ROW(),COLUMN(newark_part_data)+2)),INDIRECT(ADDRESS(ROW(),COLUMN(digikey_part_data)+2)),INDIRECT(ADDRESS(ROW(),COLUMN(mouser_part_data)+2)))</f>
        <v>0.28</v>
      </c>
      <c r="I81" s="13" t="n">
        <f aca="false">IFERROR(G81*H81,"")</f>
        <v>1.4</v>
      </c>
      <c r="J81" s="1" t="n">
        <v>6014</v>
      </c>
      <c r="L81" s="13" t="n">
        <f aca="false">IFERROR(LOOKUP(IF(K81="",G81,K81),{0,1,25,100,3300},{0,0.28,0.27,0.26,0.26}),"")</f>
        <v>0.28</v>
      </c>
      <c r="M81" s="13" t="n">
        <f aca="false">IFERROR(IF(K81="",G81,K81)*L81,"")</f>
        <v>1.4</v>
      </c>
      <c r="N81" s="1" t="s">
        <v>364</v>
      </c>
      <c r="O81" s="12" t="s">
        <v>25</v>
      </c>
      <c r="AA81" s="12" t="s">
        <v>25</v>
      </c>
    </row>
    <row r="82" s="1" customFormat="true" ht="14.9" hidden="false" customHeight="false" outlineLevel="0" collapsed="false">
      <c r="A82" s="1" t="s">
        <v>365</v>
      </c>
      <c r="B82" s="1" t="s">
        <v>366</v>
      </c>
      <c r="D82" s="1" t="s">
        <v>22</v>
      </c>
      <c r="F82" s="1" t="s">
        <v>23</v>
      </c>
      <c r="G82" s="1" t="n">
        <f aca="false">BoardQty*4</f>
        <v>20</v>
      </c>
      <c r="H82" s="13" t="n">
        <f aca="true">MINA(INDIRECT(ADDRESS(ROW(),COLUMN(newark_part_data)+2)),INDIRECT(ADDRESS(ROW(),COLUMN(digikey_part_data)+2)),INDIRECT(ADDRESS(ROW(),COLUMN(mouser_part_data)+2)))</f>
        <v>0.01</v>
      </c>
      <c r="I82" s="13" t="n">
        <f aca="false">IFERROR(G82*H82,"")</f>
        <v>0.2</v>
      </c>
      <c r="J82" s="1" t="n">
        <v>2594840</v>
      </c>
      <c r="L82" s="13" t="n">
        <f aca="false">IFERROR(LOOKUP(IF(K82="",G82,K82),{0,1,10,25,100,250,500,1000,2500,5000,10000,25000,50000,125000},{0,0.1,0.011,0.008,0.0044,0.00336,0.0027,0.00198,0.00172,0.00129,0.00112,0.00099,0.0009,0.00089}),"")</f>
        <v>0.011</v>
      </c>
      <c r="M82" s="13" t="n">
        <f aca="false">IFERROR(IF(K82="",G82,K82)*L82,"")</f>
        <v>0.22</v>
      </c>
      <c r="N82" s="1" t="s">
        <v>24</v>
      </c>
      <c r="O82" s="12" t="s">
        <v>25</v>
      </c>
      <c r="V82" s="1" t="n">
        <v>9500</v>
      </c>
      <c r="X82" s="13" t="n">
        <f aca="false">IFERROR(LOOKUP(IF(W82="",G82,W82),{0,1,10,25,100,250,1000},{0,0.06,0.01,0.007,0.004,0.003,0.002}),"")</f>
        <v>0.01</v>
      </c>
      <c r="Y82" s="13" t="n">
        <f aca="false">IFERROR(IF(W82="",G82,W82)*X82,"")</f>
        <v>0.2</v>
      </c>
      <c r="Z82" s="1" t="s">
        <v>27</v>
      </c>
      <c r="AA82" s="12" t="s">
        <v>25</v>
      </c>
    </row>
    <row r="83" s="1" customFormat="true" ht="14.9" hidden="false" customHeight="false" outlineLevel="0" collapsed="false">
      <c r="A83" s="1" t="s">
        <v>367</v>
      </c>
      <c r="B83" s="1" t="s">
        <v>368</v>
      </c>
      <c r="D83" s="1" t="s">
        <v>369</v>
      </c>
      <c r="F83" s="1" t="s">
        <v>370</v>
      </c>
      <c r="G83" s="1" t="n">
        <f aca="false">BoardQty*1</f>
        <v>5</v>
      </c>
      <c r="H83" s="13" t="n">
        <f aca="true">MINA(INDIRECT(ADDRESS(ROW(),COLUMN(newark_part_data)+2)),INDIRECT(ADDRESS(ROW(),COLUMN(digikey_part_data)+2)),INDIRECT(ADDRESS(ROW(),COLUMN(mouser_part_data)+2)))</f>
        <v>0</v>
      </c>
      <c r="I83" s="13" t="n">
        <f aca="false">IFERROR(G83*H83,"")</f>
        <v>0</v>
      </c>
      <c r="O83" s="12" t="s">
        <v>25</v>
      </c>
      <c r="AA83" s="12" t="s">
        <v>25</v>
      </c>
    </row>
    <row r="84" s="1" customFormat="true" ht="14.9" hidden="false" customHeight="false" outlineLevel="0" collapsed="false">
      <c r="A84" s="1" t="s">
        <v>371</v>
      </c>
      <c r="B84" s="1" t="s">
        <v>372</v>
      </c>
      <c r="D84" s="1" t="s">
        <v>137</v>
      </c>
      <c r="F84" s="1" t="s">
        <v>372</v>
      </c>
      <c r="G84" s="1" t="n">
        <f aca="false">BoardQty*1</f>
        <v>5</v>
      </c>
      <c r="H84" s="13" t="n">
        <f aca="true">MINA(INDIRECT(ADDRESS(ROW(),COLUMN(newark_part_data)+2)),INDIRECT(ADDRESS(ROW(),COLUMN(digikey_part_data)+2)),INDIRECT(ADDRESS(ROW(),COLUMN(mouser_part_data)+2)))</f>
        <v>0.364</v>
      </c>
      <c r="I84" s="13" t="n">
        <f aca="false">IFERROR(G84*H84,"")</f>
        <v>1.82</v>
      </c>
      <c r="J84" s="1" t="n">
        <v>4851</v>
      </c>
      <c r="L84" s="13" t="n">
        <f aca="false">IFERROR(LOOKUP(IF(K84="",G84,K84),{0,1,5,10,50,100,250,500,1000,2500,5000,12500},{0,0.38,0.364,0.353,0.2974,0.2468,0.2244,0.19074,0.1683,0.1428,0.1377,0.1326}),"")</f>
        <v>0.364</v>
      </c>
      <c r="M84" s="13" t="n">
        <f aca="false">IFERROR(IF(K84="",G84,K84)*L84,"")</f>
        <v>1.82</v>
      </c>
      <c r="N84" s="1" t="s">
        <v>373</v>
      </c>
      <c r="O84" s="12" t="s">
        <v>25</v>
      </c>
      <c r="AA84" s="12" t="s">
        <v>25</v>
      </c>
    </row>
    <row r="85" s="1" customFormat="true" ht="14.9" hidden="false" customHeight="false" outlineLevel="0" collapsed="false">
      <c r="A85" s="1" t="s">
        <v>374</v>
      </c>
      <c r="B85" s="1" t="s">
        <v>372</v>
      </c>
      <c r="D85" s="1" t="s">
        <v>137</v>
      </c>
      <c r="F85" s="1" t="s">
        <v>375</v>
      </c>
      <c r="G85" s="1" t="n">
        <f aca="false">BoardQty*2</f>
        <v>10</v>
      </c>
      <c r="H85" s="13" t="n">
        <f aca="true">MINA(INDIRECT(ADDRESS(ROW(),COLUMN(newark_part_data)+2)),INDIRECT(ADDRESS(ROW(),COLUMN(digikey_part_data)+2)),INDIRECT(ADDRESS(ROW(),COLUMN(mouser_part_data)+2)))</f>
        <v>0.208</v>
      </c>
      <c r="I85" s="13" t="n">
        <f aca="false">IFERROR(G85*H85,"")</f>
        <v>2.08</v>
      </c>
      <c r="J85" s="1" t="n">
        <v>4931</v>
      </c>
      <c r="L85" s="13" t="n">
        <f aca="false">IFERROR(LOOKUP(IF(K85="",G85,K85),{0,1,10,25,50,100,250,500,1000,3000,6000,15000},{0,0.29,0.273,0.252,0.2432,0.2264,0.2016,0.168,0.1592,0.128,0.12,0.112}),"")</f>
        <v>0.273</v>
      </c>
      <c r="M85" s="13" t="n">
        <f aca="false">IFERROR(IF(K85="",G85,K85)*L85,"")</f>
        <v>2.73</v>
      </c>
      <c r="N85" s="1" t="s">
        <v>376</v>
      </c>
      <c r="O85" s="12" t="s">
        <v>25</v>
      </c>
      <c r="V85" s="1" t="n">
        <v>374</v>
      </c>
      <c r="X85" s="13" t="n">
        <f aca="false">IFERROR(LOOKUP(IF(W85="",G85,W85),{0,1,10,100,250,500,1000},{0,0.288,0.208,0.192,0.183,0.167,0.141}),"")</f>
        <v>0.208</v>
      </c>
      <c r="Y85" s="13" t="n">
        <f aca="false">IFERROR(IF(W85="",G85,W85)*X85,"")</f>
        <v>2.08</v>
      </c>
      <c r="Z85" s="1" t="s">
        <v>377</v>
      </c>
      <c r="AA85" s="12" t="s">
        <v>25</v>
      </c>
    </row>
    <row r="86" s="1" customFormat="true" ht="13.8" hidden="false" customHeight="false" outlineLevel="0" collapsed="false">
      <c r="A86" s="1" t="s">
        <v>378</v>
      </c>
      <c r="B86" s="1" t="s">
        <v>379</v>
      </c>
      <c r="D86" s="1" t="s">
        <v>120</v>
      </c>
      <c r="G86" s="1" t="n">
        <f aca="false">BoardQty*6</f>
        <v>30</v>
      </c>
      <c r="H86" s="13" t="n">
        <f aca="true">MINA(INDIRECT(ADDRESS(ROW(),COLUMN(newark_part_data)+2)),INDIRECT(ADDRESS(ROW(),COLUMN(digikey_part_data)+2)),INDIRECT(ADDRESS(ROW(),COLUMN(mouser_part_data)+2)))</f>
        <v>0</v>
      </c>
      <c r="I86" s="13" t="n">
        <f aca="false">IFERROR(G86*H86,"")</f>
        <v>0</v>
      </c>
    </row>
    <row r="87" s="1" customFormat="true" ht="14.9" hidden="false" customHeight="false" outlineLevel="0" collapsed="false">
      <c r="A87" s="1" t="s">
        <v>380</v>
      </c>
      <c r="B87" s="1" t="s">
        <v>372</v>
      </c>
      <c r="F87" s="1" t="s">
        <v>375</v>
      </c>
      <c r="G87" s="1" t="n">
        <f aca="false">BoardQty*1</f>
        <v>5</v>
      </c>
      <c r="H87" s="13" t="n">
        <f aca="true">MINA(INDIRECT(ADDRESS(ROW(),COLUMN(newark_part_data)+2)),INDIRECT(ADDRESS(ROW(),COLUMN(digikey_part_data)+2)),INDIRECT(ADDRESS(ROW(),COLUMN(mouser_part_data)+2)))</f>
        <v>0.288</v>
      </c>
      <c r="I87" s="13" t="n">
        <f aca="false">IFERROR(G87*H87,"")</f>
        <v>1.44</v>
      </c>
      <c r="J87" s="1" t="n">
        <v>4931</v>
      </c>
      <c r="L87" s="13" t="n">
        <f aca="false">IFERROR(LOOKUP(IF(K87="",G87,K87),{0,1,10,25,50,100,250,500,1000,3000,6000,15000},{0,0.29,0.273,0.252,0.2432,0.2264,0.2016,0.168,0.1592,0.128,0.12,0.112}),"")</f>
        <v>0.29</v>
      </c>
      <c r="M87" s="13" t="n">
        <f aca="false">IFERROR(IF(K87="",G87,K87)*L87,"")</f>
        <v>1.45</v>
      </c>
      <c r="N87" s="1" t="s">
        <v>376</v>
      </c>
      <c r="O87" s="12" t="s">
        <v>25</v>
      </c>
      <c r="V87" s="1" t="n">
        <v>374</v>
      </c>
      <c r="X87" s="13" t="n">
        <f aca="false">IFERROR(LOOKUP(IF(W87="",G87,W87),{0,1,10,100,250,500,1000},{0,0.288,0.208,0.192,0.183,0.167,0.141}),"")</f>
        <v>0.288</v>
      </c>
      <c r="Y87" s="13" t="n">
        <f aca="false">IFERROR(IF(W87="",G87,W87)*X87,"")</f>
        <v>1.44</v>
      </c>
      <c r="Z87" s="1" t="s">
        <v>377</v>
      </c>
      <c r="AA87" s="12" t="s">
        <v>25</v>
      </c>
    </row>
    <row r="88" s="1" customFormat="true" ht="14.9" hidden="false" customHeight="false" outlineLevel="0" collapsed="false">
      <c r="A88" s="1" t="s">
        <v>381</v>
      </c>
      <c r="B88" s="1" t="s">
        <v>126</v>
      </c>
      <c r="D88" s="1" t="s">
        <v>110</v>
      </c>
      <c r="F88" s="1" t="s">
        <v>128</v>
      </c>
      <c r="G88" s="1" t="n">
        <f aca="false">BoardQty*4</f>
        <v>20</v>
      </c>
      <c r="H88" s="13" t="n">
        <f aca="true">MINA(INDIRECT(ADDRESS(ROW(),COLUMN(newark_part_data)+2)),INDIRECT(ADDRESS(ROW(),COLUMN(digikey_part_data)+2)),INDIRECT(ADDRESS(ROW(),COLUMN(mouser_part_data)+2)))</f>
        <v>0.048</v>
      </c>
      <c r="I88" s="13" t="n">
        <f aca="false">IFERROR(G88*H88,"")</f>
        <v>0.96</v>
      </c>
      <c r="J88" s="1" t="n">
        <v>14158</v>
      </c>
      <c r="L88" s="13" t="n">
        <f aca="false">IFERROR(LOOKUP(IF(K88="",G88,K88),{0,1,10,50,100,250,500,1000,4000,8000,12000,28000,100000},{0,0.1,0.048,0.026,0.022,0.018,0.0154,0.012,0.0092,0.0084,0.008,0.0076,0.0055}),"")</f>
        <v>0.048</v>
      </c>
      <c r="M88" s="13" t="n">
        <f aca="false">IFERROR(IF(K88="",G88,K88)*L88,"")</f>
        <v>0.96</v>
      </c>
      <c r="N88" s="1" t="s">
        <v>129</v>
      </c>
      <c r="O88" s="12" t="s">
        <v>25</v>
      </c>
      <c r="AA88" s="12" t="s">
        <v>25</v>
      </c>
    </row>
    <row r="89" s="1" customFormat="true" ht="14.9" hidden="false" customHeight="false" outlineLevel="0" collapsed="false">
      <c r="A89" s="1" t="s">
        <v>382</v>
      </c>
      <c r="B89" s="1" t="s">
        <v>383</v>
      </c>
      <c r="D89" s="1" t="s">
        <v>384</v>
      </c>
      <c r="F89" s="1" t="s">
        <v>385</v>
      </c>
      <c r="G89" s="1" t="n">
        <f aca="false">BoardQty*1</f>
        <v>5</v>
      </c>
      <c r="H89" s="13" t="n">
        <f aca="true">MINA(INDIRECT(ADDRESS(ROW(),COLUMN(newark_part_data)+2)),INDIRECT(ADDRESS(ROW(),COLUMN(digikey_part_data)+2)),INDIRECT(ADDRESS(ROW(),COLUMN(mouser_part_data)+2)))</f>
        <v>1.3</v>
      </c>
      <c r="I89" s="13" t="n">
        <f aca="false">IFERROR(G89*H89,"")</f>
        <v>6.5</v>
      </c>
      <c r="J89" s="1" t="n">
        <v>685</v>
      </c>
      <c r="L89" s="13" t="n">
        <f aca="false">IFERROR(LOOKUP(IF(K89="",G89,K89),{0,1,25,100,5000},{0,1.3,1.09,1.05,1.05}),"")</f>
        <v>1.3</v>
      </c>
      <c r="M89" s="13" t="n">
        <f aca="false">IFERROR(IF(K89="",G89,K89)*L89,"")</f>
        <v>6.5</v>
      </c>
      <c r="N89" s="1" t="s">
        <v>386</v>
      </c>
      <c r="O89" s="12" t="s">
        <v>25</v>
      </c>
      <c r="V89" s="1" t="n">
        <v>636</v>
      </c>
      <c r="X89" s="13" t="n">
        <f aca="false">IFERROR(LOOKUP(IF(W89="",G89,W89),{0,1,100,250,500,1000},{0,2.45,2,1.83,1.7,1.6}),"")</f>
        <v>2.45</v>
      </c>
      <c r="Y89" s="13" t="n">
        <f aca="false">IFERROR(IF(W89="",G89,W89)*X89,"")</f>
        <v>12.25</v>
      </c>
      <c r="Z89" s="1" t="s">
        <v>387</v>
      </c>
      <c r="AA89" s="12" t="s">
        <v>25</v>
      </c>
    </row>
    <row r="90" s="1" customFormat="true" ht="14.9" hidden="false" customHeight="false" outlineLevel="0" collapsed="false">
      <c r="A90" s="1" t="s">
        <v>388</v>
      </c>
      <c r="B90" s="1" t="s">
        <v>389</v>
      </c>
      <c r="D90" s="1" t="s">
        <v>390</v>
      </c>
      <c r="F90" s="1" t="s">
        <v>391</v>
      </c>
      <c r="G90" s="1" t="n">
        <f aca="false">BoardQty*2</f>
        <v>10</v>
      </c>
      <c r="H90" s="13" t="n">
        <f aca="true">MINA(INDIRECT(ADDRESS(ROW(),COLUMN(newark_part_data)+2)),INDIRECT(ADDRESS(ROW(),COLUMN(digikey_part_data)+2)),INDIRECT(ADDRESS(ROW(),COLUMN(mouser_part_data)+2)))</f>
        <v>2.55</v>
      </c>
      <c r="I90" s="13" t="n">
        <f aca="false">IFERROR(G90*H90,"")</f>
        <v>25.5</v>
      </c>
      <c r="J90" s="1" t="n">
        <v>2500</v>
      </c>
      <c r="L90" s="13" t="n">
        <f aca="false">IFERROR(LOOKUP(IF(K90="",G90,K90),{0,1,10,25,100,250,500,1000,2500,5000,12500,25000},{0,3.06,2.55,2.142,1.836,1.632,1.479,1.3566,1.3005,1.2648,1.01675,0.996}),"")</f>
        <v>2.55</v>
      </c>
      <c r="M90" s="13" t="n">
        <f aca="false">IFERROR(IF(K90="",G90,K90)*L90,"")</f>
        <v>25.5</v>
      </c>
      <c r="N90" s="1" t="s">
        <v>392</v>
      </c>
      <c r="O90" s="12" t="s">
        <v>25</v>
      </c>
    </row>
    <row r="91" s="1" customFormat="true" ht="13.8" hidden="false" customHeight="false" outlineLevel="0" collapsed="false">
      <c r="A91" s="1" t="s">
        <v>393</v>
      </c>
      <c r="B91" s="1" t="s">
        <v>394</v>
      </c>
      <c r="D91" s="1" t="s">
        <v>395</v>
      </c>
      <c r="G91" s="1" t="n">
        <f aca="false">BoardQty*4</f>
        <v>20</v>
      </c>
      <c r="H91" s="13" t="n">
        <f aca="true">MINA(INDIRECT(ADDRESS(ROW(),COLUMN(newark_part_data)+2)),INDIRECT(ADDRESS(ROW(),COLUMN(digikey_part_data)+2)),INDIRECT(ADDRESS(ROW(),COLUMN(mouser_part_data)+2)))</f>
        <v>0</v>
      </c>
      <c r="I91" s="13" t="n">
        <f aca="false">IFERROR(G91*H91,"")</f>
        <v>0</v>
      </c>
    </row>
    <row r="92" s="1" customFormat="true" ht="14.9" hidden="false" customHeight="false" outlineLevel="0" collapsed="false">
      <c r="A92" s="1" t="s">
        <v>396</v>
      </c>
      <c r="B92" s="1" t="s">
        <v>397</v>
      </c>
      <c r="D92" s="1" t="s">
        <v>22</v>
      </c>
      <c r="F92" s="1" t="s">
        <v>398</v>
      </c>
      <c r="G92" s="1" t="n">
        <f aca="false">BoardQty*1</f>
        <v>5</v>
      </c>
      <c r="H92" s="13" t="n">
        <f aca="true">MINA(INDIRECT(ADDRESS(ROW(),COLUMN(newark_part_data)+2)),INDIRECT(ADDRESS(ROW(),COLUMN(digikey_part_data)+2)),INDIRECT(ADDRESS(ROW(),COLUMN(mouser_part_data)+2)))</f>
        <v>0.08</v>
      </c>
      <c r="I92" s="13" t="n">
        <f aca="false">IFERROR(G92*H92,"")</f>
        <v>0.4</v>
      </c>
      <c r="J92" s="1" t="n">
        <v>720083</v>
      </c>
      <c r="L92" s="13" t="n">
        <f aca="false">IFERROR(LOOKUP(IF(K92="",G92,K92),{0,1,10,25,100,250,500,1000,2500,5000,10000,25000,50000,125000},{0,0.1,0.014,0.01,0.0057,0.00436,0.00348,0.00257,0.00223,0.00167,0.00145,0.00128,0.00117,0.00115}),"")</f>
        <v>0.1</v>
      </c>
      <c r="M92" s="13" t="n">
        <f aca="false">IFERROR(IF(K92="",G92,K92)*L92,"")</f>
        <v>0.5</v>
      </c>
      <c r="N92" s="1" t="s">
        <v>399</v>
      </c>
      <c r="O92" s="12" t="s">
        <v>25</v>
      </c>
      <c r="V92" s="1" t="n">
        <v>4964</v>
      </c>
      <c r="X92" s="13" t="n">
        <f aca="false">IFERROR(LOOKUP(IF(W92="",G92,W92),{0,1,10,25,100,250,1000},{0,0.08,0.014,0.01,0.006,0.004,0.003}),"")</f>
        <v>0.08</v>
      </c>
      <c r="Y92" s="13" t="n">
        <f aca="false">IFERROR(IF(W92="",G92,W92)*X92,"")</f>
        <v>0.4</v>
      </c>
      <c r="Z92" s="1" t="s">
        <v>400</v>
      </c>
      <c r="AA92" s="12" t="s">
        <v>25</v>
      </c>
    </row>
    <row r="93" s="1" customFormat="true" ht="14.9" hidden="false" customHeight="false" outlineLevel="0" collapsed="false">
      <c r="A93" s="1" t="s">
        <v>401</v>
      </c>
      <c r="B93" s="1" t="s">
        <v>397</v>
      </c>
      <c r="D93" s="1" t="s">
        <v>22</v>
      </c>
      <c r="F93" s="1" t="s">
        <v>402</v>
      </c>
      <c r="G93" s="1" t="n">
        <f aca="false">BoardQty*5</f>
        <v>25</v>
      </c>
      <c r="H93" s="13" t="n">
        <f aca="true">MINA(INDIRECT(ADDRESS(ROW(),COLUMN(newark_part_data)+2)),INDIRECT(ADDRESS(ROW(),COLUMN(digikey_part_data)+2)),INDIRECT(ADDRESS(ROW(),COLUMN(mouser_part_data)+2)))</f>
        <v>0.01</v>
      </c>
      <c r="I93" s="13" t="n">
        <f aca="false">IFERROR(G93*H93,"")</f>
        <v>0.25</v>
      </c>
      <c r="J93" s="1" t="n">
        <v>720083</v>
      </c>
      <c r="L93" s="13" t="n">
        <f aca="false">IFERROR(LOOKUP(IF(K93="",G93,K93),{0,1,10,25,100,250,500,1000,2500,5000,10000,25000,50000,125000},{0,0.1,0.014,0.01,0.0057,0.00436,0.00348,0.00257,0.00223,0.00167,0.00145,0.00128,0.00117,0.00115}),"")</f>
        <v>0.01</v>
      </c>
      <c r="M93" s="13" t="n">
        <f aca="false">IFERROR(IF(K93="",G93,K93)*L93,"")</f>
        <v>0.25</v>
      </c>
      <c r="N93" s="1" t="s">
        <v>399</v>
      </c>
      <c r="O93" s="12" t="s">
        <v>25</v>
      </c>
      <c r="V93" s="1" t="n">
        <v>4964</v>
      </c>
      <c r="X93" s="13" t="n">
        <f aca="false">IFERROR(LOOKUP(IF(W93="",G93,W93),{0,1,10,25,100,250,1000},{0,0.08,0.014,0.01,0.006,0.004,0.003}),"")</f>
        <v>0.01</v>
      </c>
      <c r="Y93" s="13" t="n">
        <f aca="false">IFERROR(IF(W93="",G93,W93)*X93,"")</f>
        <v>0.25</v>
      </c>
      <c r="Z93" s="1" t="s">
        <v>400</v>
      </c>
      <c r="AA93" s="12" t="s">
        <v>25</v>
      </c>
    </row>
    <row r="94" s="1" customFormat="true" ht="14.9" hidden="false" customHeight="false" outlineLevel="0" collapsed="false">
      <c r="A94" s="1" t="s">
        <v>403</v>
      </c>
      <c r="B94" s="1" t="s">
        <v>404</v>
      </c>
      <c r="D94" s="1" t="s">
        <v>405</v>
      </c>
      <c r="F94" s="1" t="s">
        <v>406</v>
      </c>
      <c r="G94" s="1" t="n">
        <f aca="false">BoardQty*1</f>
        <v>5</v>
      </c>
      <c r="H94" s="13" t="n">
        <f aca="true">MINA(INDIRECT(ADDRESS(ROW(),COLUMN(newark_part_data)+2)),INDIRECT(ADDRESS(ROW(),COLUMN(digikey_part_data)+2)),INDIRECT(ADDRESS(ROW(),COLUMN(mouser_part_data)+2)))</f>
        <v>0</v>
      </c>
      <c r="I94" s="13" t="n">
        <f aca="false">IFERROR(G94*H94,"")</f>
        <v>0</v>
      </c>
      <c r="O94" s="12" t="s">
        <v>25</v>
      </c>
    </row>
    <row r="95" s="1" customFormat="true" ht="14.9" hidden="false" customHeight="false" outlineLevel="0" collapsed="false">
      <c r="A95" s="1" t="s">
        <v>407</v>
      </c>
      <c r="B95" s="1" t="s">
        <v>404</v>
      </c>
      <c r="D95" s="1" t="s">
        <v>405</v>
      </c>
      <c r="F95" s="1" t="s">
        <v>408</v>
      </c>
      <c r="G95" s="1" t="n">
        <f aca="false">BoardQty*1</f>
        <v>5</v>
      </c>
      <c r="H95" s="13" t="n">
        <f aca="true">MINA(INDIRECT(ADDRESS(ROW(),COLUMN(newark_part_data)+2)),INDIRECT(ADDRESS(ROW(),COLUMN(digikey_part_data)+2)),INDIRECT(ADDRESS(ROW(),COLUMN(mouser_part_data)+2)))</f>
        <v>0</v>
      </c>
      <c r="I95" s="13" t="n">
        <f aca="false">IFERROR(G95*H95,"")</f>
        <v>0</v>
      </c>
      <c r="O95" s="12" t="s">
        <v>25</v>
      </c>
      <c r="AA95" s="12" t="s">
        <v>25</v>
      </c>
    </row>
    <row r="96" s="1" customFormat="true" ht="14.9" hidden="false" customHeight="false" outlineLevel="0" collapsed="false">
      <c r="A96" s="1" t="s">
        <v>409</v>
      </c>
      <c r="B96" s="1" t="s">
        <v>410</v>
      </c>
      <c r="D96" s="1" t="s">
        <v>411</v>
      </c>
      <c r="F96" s="1" t="s">
        <v>412</v>
      </c>
      <c r="G96" s="1" t="n">
        <f aca="false">BoardQty*4</f>
        <v>20</v>
      </c>
      <c r="H96" s="13" t="n">
        <f aca="true">MINA(INDIRECT(ADDRESS(ROW(),COLUMN(newark_part_data)+2)),INDIRECT(ADDRESS(ROW(),COLUMN(digikey_part_data)+2)),INDIRECT(ADDRESS(ROW(),COLUMN(mouser_part_data)+2)))</f>
        <v>2.704</v>
      </c>
      <c r="I96" s="13" t="n">
        <f aca="false">IFERROR(G96*H96,"")</f>
        <v>54.08</v>
      </c>
      <c r="J96" s="1" t="n">
        <v>5070</v>
      </c>
      <c r="L96" s="13" t="n">
        <f aca="false">IFERROR(LOOKUP(IF(K96="",G96,K96),{0,1,10,25,50,100,250,500,1000,2500},{0,2.88,2.704,2.4032,2.283,2.1629,1.92256,1.8024,1.68224,1.6522}),"")</f>
        <v>2.704</v>
      </c>
      <c r="M96" s="13" t="n">
        <f aca="false">IFERROR(IF(K96="",G96,K96)*L96,"")</f>
        <v>54.08</v>
      </c>
      <c r="N96" s="1" t="s">
        <v>413</v>
      </c>
      <c r="O96" s="12" t="s">
        <v>25</v>
      </c>
      <c r="V96" s="1" t="n">
        <v>162</v>
      </c>
      <c r="X96" s="13" t="n">
        <f aca="false">IFERROR(LOOKUP(IF(W96="",G96,W96),{0,1,10,25,50,100,250,500,1000},{0,2.97,2.79,2.48,2.36,2.23,1.99,1.85,1.73}),"")</f>
        <v>2.79</v>
      </c>
      <c r="Y96" s="13" t="n">
        <f aca="false">IFERROR(IF(W96="",G96,W96)*X96,"")</f>
        <v>55.8</v>
      </c>
      <c r="Z96" s="1" t="s">
        <v>414</v>
      </c>
      <c r="AA96" s="12" t="s">
        <v>25</v>
      </c>
    </row>
    <row r="97" s="1" customFormat="true" ht="14.9" hidden="false" customHeight="false" outlineLevel="0" collapsed="false">
      <c r="A97" s="1" t="s">
        <v>415</v>
      </c>
      <c r="B97" s="1" t="s">
        <v>416</v>
      </c>
      <c r="D97" s="1" t="s">
        <v>22</v>
      </c>
      <c r="F97" s="1" t="s">
        <v>417</v>
      </c>
      <c r="G97" s="1" t="n">
        <f aca="false">BoardQty*4</f>
        <v>20</v>
      </c>
      <c r="H97" s="13" t="n">
        <f aca="true">MINA(INDIRECT(ADDRESS(ROW(),COLUMN(newark_part_data)+2)),INDIRECT(ADDRESS(ROW(),COLUMN(digikey_part_data)+2)),INDIRECT(ADDRESS(ROW(),COLUMN(mouser_part_data)+2)))</f>
        <v>0.63</v>
      </c>
      <c r="I97" s="13" t="n">
        <f aca="false">IFERROR(G97*H97,"")</f>
        <v>12.6</v>
      </c>
      <c r="J97" s="1" t="n">
        <v>8546</v>
      </c>
      <c r="L97" s="13" t="n">
        <f aca="false">IFERROR(LOOKUP(IF(K97="",G97,K97),{0,1,50,100,250,500,1000,5000,10000,25000,50000,125000},{0,0.63,0.2494,0.1924,0.14964,0.10546,0.07695,0.04275,0.0399,0.03791,0.03714,0.03634}),"")</f>
        <v>0.63</v>
      </c>
      <c r="M97" s="13" t="n">
        <f aca="false">IFERROR(IF(K97="",G97,K97)*L97,"")</f>
        <v>12.6</v>
      </c>
      <c r="N97" s="1" t="s">
        <v>418</v>
      </c>
      <c r="O97" s="12" t="s">
        <v>25</v>
      </c>
      <c r="AA97" s="12" t="s">
        <v>25</v>
      </c>
    </row>
    <row r="98" s="1" customFormat="true" ht="14.9" hidden="false" customHeight="false" outlineLevel="0" collapsed="false">
      <c r="A98" s="1" t="s">
        <v>419</v>
      </c>
      <c r="B98" s="1" t="s">
        <v>420</v>
      </c>
      <c r="D98" s="1" t="s">
        <v>273</v>
      </c>
      <c r="F98" s="1" t="s">
        <v>421</v>
      </c>
      <c r="G98" s="1" t="n">
        <f aca="false">BoardQty*2</f>
        <v>10</v>
      </c>
      <c r="H98" s="13" t="n">
        <f aca="true">MINA(INDIRECT(ADDRESS(ROW(),COLUMN(newark_part_data)+2)),INDIRECT(ADDRESS(ROW(),COLUMN(digikey_part_data)+2)),INDIRECT(ADDRESS(ROW(),COLUMN(mouser_part_data)+2)))</f>
        <v>0.297</v>
      </c>
      <c r="I98" s="13" t="n">
        <f aca="false">IFERROR(G98*H98,"")</f>
        <v>2.97</v>
      </c>
      <c r="J98" s="1" t="n">
        <v>10550</v>
      </c>
      <c r="L98" s="13" t="n">
        <f aca="false">IFERROR(LOOKUP(IF(K98="",G98,K98),{0,1,10,25,100,250,500,1000,2000,6000,10000,50000,100000},{0,0.41,0.297,0.2276,0.1485,0.10892,0.0924,0.0759,0.06,0.054,0.048,0.0405,0.039}),"")</f>
        <v>0.297</v>
      </c>
      <c r="M98" s="13" t="n">
        <f aca="false">IFERROR(IF(K98="",G98,K98)*L98,"")</f>
        <v>2.97</v>
      </c>
      <c r="N98" s="1" t="s">
        <v>202</v>
      </c>
      <c r="O98" s="12" t="s">
        <v>25</v>
      </c>
    </row>
    <row r="99" s="1" customFormat="true" ht="14.9" hidden="false" customHeight="false" outlineLevel="0" collapsed="false">
      <c r="A99" s="1" t="s">
        <v>422</v>
      </c>
      <c r="B99" s="1" t="s">
        <v>423</v>
      </c>
      <c r="D99" s="1" t="s">
        <v>35</v>
      </c>
      <c r="F99" s="1" t="s">
        <v>424</v>
      </c>
      <c r="G99" s="1" t="n">
        <f aca="false">BoardQty*1</f>
        <v>5</v>
      </c>
      <c r="H99" s="13" t="n">
        <f aca="true">MINA(INDIRECT(ADDRESS(ROW(),COLUMN(newark_part_data)+2)),INDIRECT(ADDRESS(ROW(),COLUMN(digikey_part_data)+2)),INDIRECT(ADDRESS(ROW(),COLUMN(mouser_part_data)+2)))</f>
        <v>2.08</v>
      </c>
      <c r="I99" s="13" t="n">
        <f aca="false">IFERROR(G99*H99,"")</f>
        <v>10.4</v>
      </c>
      <c r="J99" s="1" t="n">
        <v>45018</v>
      </c>
      <c r="L99" s="13" t="n">
        <f aca="false">IFERROR(LOOKUP(IF(K99="",G99,K99),{0,1,10,100,500,1000,2500},{0,2.19,1.966,1.5768,1.296,0.9,0.9}),"")</f>
        <v>2.19</v>
      </c>
      <c r="M99" s="13" t="n">
        <f aca="false">IFERROR(IF(K99="",G99,K99)*L99,"")</f>
        <v>10.95</v>
      </c>
      <c r="N99" s="1" t="s">
        <v>425</v>
      </c>
      <c r="O99" s="12" t="s">
        <v>25</v>
      </c>
      <c r="V99" s="1" t="n">
        <v>1137</v>
      </c>
      <c r="X99" s="13" t="n">
        <f aca="false">IFERROR(LOOKUP(IF(W99="",G99,W99),{0,1,10,100,500,1000},{0,2.08,1.8,1.44,1.26,1.04}),"")</f>
        <v>2.08</v>
      </c>
      <c r="Y99" s="13" t="n">
        <f aca="false">IFERROR(IF(W99="",G99,W99)*X99,"")</f>
        <v>10.4</v>
      </c>
      <c r="Z99" s="1" t="s">
        <v>426</v>
      </c>
      <c r="AA99" s="12" t="s">
        <v>25</v>
      </c>
    </row>
    <row r="100" s="1" customFormat="true" ht="14.9" hidden="false" customHeight="false" outlineLevel="0" collapsed="false">
      <c r="A100" s="1" t="s">
        <v>427</v>
      </c>
      <c r="B100" s="1" t="s">
        <v>428</v>
      </c>
      <c r="D100" s="1" t="s">
        <v>429</v>
      </c>
      <c r="F100" s="1" t="s">
        <v>430</v>
      </c>
      <c r="G100" s="1" t="n">
        <f aca="false">BoardQty*4</f>
        <v>20</v>
      </c>
      <c r="H100" s="13" t="n">
        <f aca="true">MINA(INDIRECT(ADDRESS(ROW(),COLUMN(newark_part_data)+2)),INDIRECT(ADDRESS(ROW(),COLUMN(digikey_part_data)+2)),INDIRECT(ADDRESS(ROW(),COLUMN(mouser_part_data)+2)))</f>
        <v>0.62</v>
      </c>
      <c r="I100" s="13" t="n">
        <f aca="false">IFERROR(G100*H100,"")</f>
        <v>12.4</v>
      </c>
      <c r="J100" s="1" t="n">
        <v>25842</v>
      </c>
      <c r="L100" s="13" t="n">
        <f aca="false">IFERROR(LOOKUP(IF(K100="",G100,K100),{0,1,25,100,3000},{0,0.62,0.52,0.47,0.47}),"")</f>
        <v>0.62</v>
      </c>
      <c r="M100" s="13" t="n">
        <f aca="false">IFERROR(IF(K100="",G100,K100)*L100,"")</f>
        <v>12.4</v>
      </c>
      <c r="N100" s="1" t="s">
        <v>431</v>
      </c>
      <c r="O100" s="12" t="s">
        <v>25</v>
      </c>
      <c r="AA100" s="12" t="s">
        <v>25</v>
      </c>
    </row>
    <row r="101" s="1" customFormat="true" ht="14.9" hidden="false" customHeight="false" outlineLevel="0" collapsed="false">
      <c r="A101" s="1" t="s">
        <v>432</v>
      </c>
      <c r="B101" s="1" t="s">
        <v>433</v>
      </c>
      <c r="D101" s="1" t="s">
        <v>357</v>
      </c>
      <c r="F101" s="1" t="s">
        <v>434</v>
      </c>
      <c r="G101" s="1" t="n">
        <f aca="false">BoardQty*1</f>
        <v>5</v>
      </c>
      <c r="H101" s="13" t="n">
        <f aca="true">MINA(INDIRECT(ADDRESS(ROW(),COLUMN(newark_part_data)+2)),INDIRECT(ADDRESS(ROW(),COLUMN(digikey_part_data)+2)),INDIRECT(ADDRESS(ROW(),COLUMN(mouser_part_data)+2)))</f>
        <v>0.31</v>
      </c>
      <c r="I101" s="13" t="n">
        <f aca="false">IFERROR(G101*H101,"")</f>
        <v>1.55</v>
      </c>
      <c r="O101" s="12" t="s">
        <v>25</v>
      </c>
      <c r="V101" s="1" t="n">
        <v>2482</v>
      </c>
      <c r="X101" s="13" t="n">
        <f aca="false">IFERROR(LOOKUP(IF(W101="",G101,W101),{0,1,25,100},{0,0.31,0.26,0.24}),"")</f>
        <v>0.31</v>
      </c>
      <c r="Y101" s="13" t="n">
        <f aca="false">IFERROR(IF(W101="",G101,W101)*X101,"")</f>
        <v>1.55</v>
      </c>
      <c r="Z101" s="1" t="s">
        <v>435</v>
      </c>
      <c r="AA101" s="12" t="s">
        <v>25</v>
      </c>
    </row>
    <row r="102" s="1" customFormat="true" ht="14.9" hidden="false" customHeight="false" outlineLevel="0" collapsed="false">
      <c r="A102" s="1" t="s">
        <v>436</v>
      </c>
      <c r="B102" s="1" t="s">
        <v>437</v>
      </c>
      <c r="D102" s="1" t="s">
        <v>279</v>
      </c>
      <c r="F102" s="1" t="s">
        <v>438</v>
      </c>
      <c r="G102" s="1" t="n">
        <f aca="false">BoardQty*1</f>
        <v>5</v>
      </c>
      <c r="H102" s="13" t="n">
        <f aca="true">MINA(INDIRECT(ADDRESS(ROW(),COLUMN(newark_part_data)+2)),INDIRECT(ADDRESS(ROW(),COLUMN(digikey_part_data)+2)),INDIRECT(ADDRESS(ROW(),COLUMN(mouser_part_data)+2)))</f>
        <v>0.44</v>
      </c>
      <c r="I102" s="13" t="n">
        <f aca="false">IFERROR(G102*H102,"")</f>
        <v>2.2</v>
      </c>
      <c r="J102" s="1" t="n">
        <v>3143</v>
      </c>
      <c r="L102" s="13" t="n">
        <f aca="false">IFERROR(LOOKUP(IF(K102="",G102,K102),{0,1,10,25,100,250,750,1500,2250,3200,5250,18750,37500,75000},{0,0.44,0.358,0.3276,0.2439,0.22104,0.1776,0.1332,0.1221,0.1221,0.1147,0.1073,0.09842,0.09472}),"")</f>
        <v>0.44</v>
      </c>
      <c r="M102" s="13" t="n">
        <f aca="false">IFERROR(IF(K102="",G102,K102)*L102,"")</f>
        <v>2.2</v>
      </c>
      <c r="N102" s="1" t="s">
        <v>439</v>
      </c>
      <c r="O102" s="12" t="s">
        <v>25</v>
      </c>
      <c r="AA102" s="12" t="s">
        <v>25</v>
      </c>
    </row>
    <row r="103" s="1" customFormat="true" ht="14.9" hidden="false" customHeight="false" outlineLevel="0" collapsed="false">
      <c r="A103" s="1" t="s">
        <v>440</v>
      </c>
      <c r="B103" s="1" t="s">
        <v>441</v>
      </c>
      <c r="D103" s="1" t="s">
        <v>69</v>
      </c>
      <c r="F103" s="1" t="s">
        <v>70</v>
      </c>
      <c r="G103" s="1" t="n">
        <f aca="false">BoardQty*2</f>
        <v>10</v>
      </c>
      <c r="H103" s="13" t="n">
        <f aca="true">MINA(INDIRECT(ADDRESS(ROW(),COLUMN(newark_part_data)+2)),INDIRECT(ADDRESS(ROW(),COLUMN(digikey_part_data)+2)),INDIRECT(ADDRESS(ROW(),COLUMN(mouser_part_data)+2)))</f>
        <v>0.308</v>
      </c>
      <c r="I103" s="13" t="n">
        <f aca="false">IFERROR(G103*H103,"")</f>
        <v>3.08</v>
      </c>
      <c r="J103" s="1" t="n">
        <v>56370</v>
      </c>
      <c r="L103" s="13" t="n">
        <f aca="false">IFERROR(LOOKUP(IF(K103="",G103,K103),{0,1,10,50,100,250,500,1000,2000,4000,9000,10000,14000,18000,27000,50000,63000,100000,225000},{0,0.35,0.308,0.187,0.154,0.1232,0.1122,0.1012,0.0792,0.0748,0.064,0.0704,0.0682,0.062,0.06,0.0616,0.056,0.0572,0.052}),"")</f>
        <v>0.308</v>
      </c>
      <c r="M103" s="13" t="n">
        <f aca="false">IFERROR(IF(K103="",G103,K103)*L103,"")</f>
        <v>3.08</v>
      </c>
      <c r="N103" s="1" t="s">
        <v>71</v>
      </c>
      <c r="O103" s="12" t="s">
        <v>25</v>
      </c>
      <c r="AA103" s="12" t="s">
        <v>25</v>
      </c>
    </row>
    <row r="104" s="1" customFormat="true" ht="14.9" hidden="false" customHeight="false" outlineLevel="0" collapsed="false">
      <c r="A104" s="1" t="s">
        <v>442</v>
      </c>
      <c r="B104" s="1" t="s">
        <v>443</v>
      </c>
      <c r="D104" s="1" t="s">
        <v>256</v>
      </c>
      <c r="F104" s="1" t="s">
        <v>444</v>
      </c>
      <c r="G104" s="1" t="n">
        <f aca="false">BoardQty*1</f>
        <v>5</v>
      </c>
      <c r="H104" s="13" t="n">
        <f aca="true">MINA(INDIRECT(ADDRESS(ROW(),COLUMN(newark_part_data)+2)),INDIRECT(ADDRESS(ROW(),COLUMN(digikey_part_data)+2)),INDIRECT(ADDRESS(ROW(),COLUMN(mouser_part_data)+2)))</f>
        <v>2.81</v>
      </c>
      <c r="I104" s="13" t="n">
        <f aca="false">IFERROR(G104*H104,"")</f>
        <v>14.05</v>
      </c>
      <c r="J104" s="1" t="n">
        <v>4521</v>
      </c>
      <c r="L104" s="13" t="n">
        <f aca="false">IFERROR(LOOKUP(IF(K104="",G104,K104),{0,1,25,100,3300},{0,2.86,2.76,2.675,2.675}),"")</f>
        <v>2.86</v>
      </c>
      <c r="M104" s="13" t="n">
        <f aca="false">IFERROR(IF(K104="",G104,K104)*L104,"")</f>
        <v>14.3</v>
      </c>
      <c r="N104" s="1" t="s">
        <v>445</v>
      </c>
      <c r="O104" s="12" t="s">
        <v>25</v>
      </c>
      <c r="V104" s="1" t="n">
        <v>2807</v>
      </c>
      <c r="X104" s="13" t="n">
        <f aca="false">IFERROR(LOOKUP(IF(W104="",G104,W104),{0,1},{0,2.81}),"")</f>
        <v>2.81</v>
      </c>
      <c r="Y104" s="13" t="n">
        <f aca="false">IFERROR(IF(W104="",G104,W104)*X104,"")</f>
        <v>14.05</v>
      </c>
      <c r="Z104" s="1" t="s">
        <v>446</v>
      </c>
      <c r="AA104" s="12" t="s">
        <v>25</v>
      </c>
    </row>
    <row r="105" s="1" customFormat="true" ht="14.9" hidden="false" customHeight="false" outlineLevel="0" collapsed="false">
      <c r="A105" s="1" t="s">
        <v>447</v>
      </c>
      <c r="B105" s="1" t="s">
        <v>448</v>
      </c>
      <c r="D105" s="1" t="s">
        <v>357</v>
      </c>
      <c r="F105" s="1" t="s">
        <v>449</v>
      </c>
      <c r="G105" s="1" t="n">
        <f aca="false">BoardQty*1</f>
        <v>5</v>
      </c>
      <c r="H105" s="13" t="n">
        <f aca="true">MINA(INDIRECT(ADDRESS(ROW(),COLUMN(newark_part_data)+2)),INDIRECT(ADDRESS(ROW(),COLUMN(digikey_part_data)+2)),INDIRECT(ADDRESS(ROW(),COLUMN(mouser_part_data)+2)))</f>
        <v>0.12</v>
      </c>
      <c r="I105" s="13" t="n">
        <f aca="false">IFERROR(G105*H105,"")</f>
        <v>0.6</v>
      </c>
      <c r="J105" s="1" t="n">
        <v>47203</v>
      </c>
      <c r="L105" s="13" t="n">
        <f aca="false">IFERROR(LOOKUP(IF(K105="",G105,K105),{0,1,10,100,500,1000,3000,6000,10000,15000,30000,50000,75000,100000,150000,250000},{0,0.12,0.105,0.0575,0.03534,0.0241,0.01989,0.01794,0.0156,0.0156,0.01404,0.01248,0.01248,0.0117,0.01037,0.01037}),"")</f>
        <v>0.12</v>
      </c>
      <c r="M105" s="13" t="n">
        <f aca="false">IFERROR(IF(K105="",G105,K105)*L105,"")</f>
        <v>0.6</v>
      </c>
      <c r="N105" s="1" t="s">
        <v>450</v>
      </c>
      <c r="O105" s="12" t="s">
        <v>25</v>
      </c>
      <c r="AA105" s="12" t="s">
        <v>25</v>
      </c>
    </row>
    <row r="106" s="1" customFormat="true" ht="14.9" hidden="false" customHeight="false" outlineLevel="0" collapsed="false">
      <c r="A106" s="1" t="s">
        <v>451</v>
      </c>
      <c r="B106" s="1" t="s">
        <v>452</v>
      </c>
      <c r="D106" s="1" t="s">
        <v>22</v>
      </c>
      <c r="F106" s="1" t="s">
        <v>253</v>
      </c>
      <c r="G106" s="1" t="n">
        <f aca="false">BoardQty*1</f>
        <v>5</v>
      </c>
      <c r="H106" s="13" t="n">
        <f aca="true">MINA(INDIRECT(ADDRESS(ROW(),COLUMN(newark_part_data)+2)),INDIRECT(ADDRESS(ROW(),COLUMN(digikey_part_data)+2)),INDIRECT(ADDRESS(ROW(),COLUMN(mouser_part_data)+2)))</f>
        <v>0.06</v>
      </c>
      <c r="I106" s="13" t="n">
        <f aca="false">IFERROR(G106*H106,"")</f>
        <v>0.3</v>
      </c>
      <c r="J106" s="1" t="n">
        <v>5068896</v>
      </c>
      <c r="L106" s="13" t="n">
        <f aca="false">IFERROR(LOOKUP(IF(K106="",G106,K106),{0,1,10,25,100,250,500,1000,2500,5000,10000,25000,50000,125000},{0,0.1,0.011,0.008,0.0044,0.00336,0.0027,0.00198,0.00172,0.00129,0.00112,0.00099,0.0009,0.00089}),"")</f>
        <v>0.1</v>
      </c>
      <c r="M106" s="13" t="n">
        <f aca="false">IFERROR(IF(K106="",G106,K106)*L106,"")</f>
        <v>0.5</v>
      </c>
      <c r="N106" s="1" t="s">
        <v>250</v>
      </c>
      <c r="O106" s="12" t="s">
        <v>25</v>
      </c>
      <c r="V106" s="1" t="n">
        <v>5318</v>
      </c>
      <c r="X106" s="13" t="n">
        <f aca="false">IFERROR(LOOKUP(IF(W106="",G106,W106),{0,1,10,25,100,250,1000},{0,0.06,0.01,0.007,0.004,0.003,0.002}),"")</f>
        <v>0.06</v>
      </c>
      <c r="Y106" s="13" t="n">
        <f aca="false">IFERROR(IF(W106="",G106,W106)*X106,"")</f>
        <v>0.3</v>
      </c>
      <c r="Z106" s="1" t="s">
        <v>251</v>
      </c>
      <c r="AA106" s="12" t="s">
        <v>25</v>
      </c>
    </row>
    <row r="107" s="1" customFormat="true" ht="14.9" hidden="false" customHeight="false" outlineLevel="0" collapsed="false">
      <c r="A107" s="1" t="s">
        <v>453</v>
      </c>
      <c r="B107" s="1" t="s">
        <v>452</v>
      </c>
      <c r="D107" s="1" t="s">
        <v>22</v>
      </c>
      <c r="F107" s="1" t="s">
        <v>249</v>
      </c>
      <c r="G107" s="1" t="n">
        <f aca="false">BoardQty*2</f>
        <v>10</v>
      </c>
      <c r="H107" s="13" t="n">
        <f aca="true">MINA(INDIRECT(ADDRESS(ROW(),COLUMN(newark_part_data)+2)),INDIRECT(ADDRESS(ROW(),COLUMN(digikey_part_data)+2)),INDIRECT(ADDRESS(ROW(),COLUMN(mouser_part_data)+2)))</f>
        <v>0.01</v>
      </c>
      <c r="I107" s="13" t="n">
        <f aca="false">IFERROR(G107*H107,"")</f>
        <v>0.1</v>
      </c>
      <c r="J107" s="1" t="n">
        <v>5068896</v>
      </c>
      <c r="L107" s="13" t="n">
        <f aca="false">IFERROR(LOOKUP(IF(K107="",G107,K107),{0,1,10,25,100,250,500,1000,2500,5000,10000,25000,50000,125000},{0,0.1,0.011,0.008,0.0044,0.00336,0.0027,0.00198,0.00172,0.00129,0.00112,0.00099,0.0009,0.00089}),"")</f>
        <v>0.011</v>
      </c>
      <c r="M107" s="13" t="n">
        <f aca="false">IFERROR(IF(K107="",G107,K107)*L107,"")</f>
        <v>0.11</v>
      </c>
      <c r="N107" s="1" t="s">
        <v>250</v>
      </c>
      <c r="O107" s="12" t="s">
        <v>25</v>
      </c>
      <c r="V107" s="1" t="n">
        <v>5318</v>
      </c>
      <c r="X107" s="13" t="n">
        <f aca="false">IFERROR(LOOKUP(IF(W107="",G107,W107),{0,1,10,25,100,250,1000},{0,0.06,0.01,0.007,0.004,0.003,0.002}),"")</f>
        <v>0.01</v>
      </c>
      <c r="Y107" s="13" t="n">
        <f aca="false">IFERROR(IF(W107="",G107,W107)*X107,"")</f>
        <v>0.1</v>
      </c>
      <c r="Z107" s="1" t="s">
        <v>251</v>
      </c>
      <c r="AA107" s="12" t="s">
        <v>25</v>
      </c>
    </row>
    <row r="108" s="1" customFormat="true" ht="14.9" hidden="false" customHeight="false" outlineLevel="0" collapsed="false">
      <c r="A108" s="1" t="s">
        <v>454</v>
      </c>
      <c r="B108" s="1" t="s">
        <v>452</v>
      </c>
      <c r="D108" s="1" t="s">
        <v>22</v>
      </c>
      <c r="F108" s="1" t="s">
        <v>455</v>
      </c>
      <c r="G108" s="1" t="n">
        <f aca="false">BoardQty*3</f>
        <v>15</v>
      </c>
      <c r="H108" s="13" t="n">
        <f aca="true">MINA(INDIRECT(ADDRESS(ROW(),COLUMN(newark_part_data)+2)),INDIRECT(ADDRESS(ROW(),COLUMN(digikey_part_data)+2)),INDIRECT(ADDRESS(ROW(),COLUMN(mouser_part_data)+2)))</f>
        <v>0.01</v>
      </c>
      <c r="I108" s="13" t="n">
        <f aca="false">IFERROR(G108*H108,"")</f>
        <v>0.15</v>
      </c>
      <c r="J108" s="1" t="n">
        <v>5068896</v>
      </c>
      <c r="L108" s="13" t="n">
        <f aca="false">IFERROR(LOOKUP(IF(K108="",G108,K108),{0,1,10,25,100,250,500,1000,2500,5000,10000,25000,50000,125000},{0,0.1,0.011,0.008,0.0044,0.00336,0.0027,0.00198,0.00172,0.00129,0.00112,0.00099,0.0009,0.00089}),"")</f>
        <v>0.011</v>
      </c>
      <c r="M108" s="13" t="n">
        <f aca="false">IFERROR(IF(K108="",G108,K108)*L108,"")</f>
        <v>0.165</v>
      </c>
      <c r="N108" s="1" t="s">
        <v>250</v>
      </c>
      <c r="O108" s="12" t="s">
        <v>25</v>
      </c>
      <c r="V108" s="1" t="n">
        <v>5318</v>
      </c>
      <c r="X108" s="13" t="n">
        <f aca="false">IFERROR(LOOKUP(IF(W108="",G108,W108),{0,1,10,25,100,250,1000},{0,0.06,0.01,0.007,0.004,0.003,0.002}),"")</f>
        <v>0.01</v>
      </c>
      <c r="Y108" s="13" t="n">
        <f aca="false">IFERROR(IF(W108="",G108,W108)*X108,"")</f>
        <v>0.15</v>
      </c>
      <c r="Z108" s="1" t="s">
        <v>251</v>
      </c>
      <c r="AA108" s="12" t="s">
        <v>25</v>
      </c>
    </row>
    <row r="109" s="1" customFormat="true" ht="14.9" hidden="false" customHeight="false" outlineLevel="0" collapsed="false">
      <c r="A109" s="1" t="s">
        <v>456</v>
      </c>
      <c r="B109" s="1" t="s">
        <v>457</v>
      </c>
      <c r="D109" s="1" t="s">
        <v>458</v>
      </c>
      <c r="F109" s="1" t="s">
        <v>459</v>
      </c>
      <c r="G109" s="1" t="n">
        <f aca="false">BoardQty*5</f>
        <v>25</v>
      </c>
      <c r="H109" s="13" t="n">
        <f aca="true">MINA(INDIRECT(ADDRESS(ROW(),COLUMN(newark_part_data)+2)),INDIRECT(ADDRESS(ROW(),COLUMN(digikey_part_data)+2)),INDIRECT(ADDRESS(ROW(),COLUMN(mouser_part_data)+2)))</f>
        <v>0.192</v>
      </c>
      <c r="I109" s="13" t="n">
        <f aca="false">IFERROR(G109*H109,"")</f>
        <v>4.8</v>
      </c>
      <c r="J109" s="1" t="n">
        <v>14612</v>
      </c>
      <c r="L109" s="13" t="n">
        <f aca="false">IFERROR(LOOKUP(IF(K109="",G109,K109),{0,1,10,100,500,1000,3000,6000,15000,30000,75000,150000},{0,0.28,0.229,0.1215,0.0799,0.05444,0.04761,0.0414,0.03519,0.03312,0.03105,0.02691}),"")</f>
        <v>0.229</v>
      </c>
      <c r="M109" s="13" t="n">
        <f aca="false">IFERROR(IF(K109="",G109,K109)*L109,"")</f>
        <v>5.725</v>
      </c>
      <c r="N109" s="1" t="s">
        <v>460</v>
      </c>
      <c r="O109" s="12" t="s">
        <v>25</v>
      </c>
      <c r="V109" s="1" t="n">
        <v>3089</v>
      </c>
      <c r="X109" s="13" t="n">
        <f aca="false">IFERROR(LOOKUP(IF(W109="",G109,W109),{0,1,10,100,1000},{0,0.288,0.192,0.081,0.055}),"")</f>
        <v>0.192</v>
      </c>
      <c r="Y109" s="13" t="n">
        <f aca="false">IFERROR(IF(W109="",G109,W109)*X109,"")</f>
        <v>4.8</v>
      </c>
      <c r="Z109" s="1" t="s">
        <v>461</v>
      </c>
      <c r="AA109" s="12" t="s">
        <v>25</v>
      </c>
    </row>
    <row r="110" s="1" customFormat="true" ht="14.9" hidden="false" customHeight="false" outlineLevel="0" collapsed="false">
      <c r="A110" s="1" t="s">
        <v>462</v>
      </c>
      <c r="B110" s="1" t="s">
        <v>452</v>
      </c>
      <c r="D110" s="1" t="s">
        <v>22</v>
      </c>
      <c r="F110" s="1" t="s">
        <v>249</v>
      </c>
      <c r="G110" s="1" t="n">
        <f aca="false">BoardQty*4</f>
        <v>20</v>
      </c>
      <c r="H110" s="13" t="n">
        <f aca="true">MINA(INDIRECT(ADDRESS(ROW(),COLUMN(newark_part_data)+2)),INDIRECT(ADDRESS(ROW(),COLUMN(digikey_part_data)+2)),INDIRECT(ADDRESS(ROW(),COLUMN(mouser_part_data)+2)))</f>
        <v>0.01</v>
      </c>
      <c r="I110" s="13" t="n">
        <f aca="false">IFERROR(G110*H110,"")</f>
        <v>0.2</v>
      </c>
      <c r="J110" s="1" t="n">
        <v>5068896</v>
      </c>
      <c r="L110" s="13" t="n">
        <f aca="false">IFERROR(LOOKUP(IF(K110="",G110,K110),{0,1,10,25,100,250,500,1000,2500,5000,10000,25000,50000,125000},{0,0.1,0.011,0.008,0.0044,0.00336,0.0027,0.00198,0.00172,0.00129,0.00112,0.00099,0.0009,0.00089}),"")</f>
        <v>0.011</v>
      </c>
      <c r="M110" s="13" t="n">
        <f aca="false">IFERROR(IF(K110="",G110,K110)*L110,"")</f>
        <v>0.22</v>
      </c>
      <c r="N110" s="1" t="s">
        <v>250</v>
      </c>
      <c r="O110" s="12" t="s">
        <v>25</v>
      </c>
      <c r="V110" s="1" t="n">
        <v>5318</v>
      </c>
      <c r="X110" s="13" t="n">
        <f aca="false">IFERROR(LOOKUP(IF(W110="",G110,W110),{0,1,10,25,100,250,1000},{0,0.06,0.01,0.007,0.004,0.003,0.002}),"")</f>
        <v>0.01</v>
      </c>
      <c r="Y110" s="13" t="n">
        <f aca="false">IFERROR(IF(W110="",G110,W110)*X110,"")</f>
        <v>0.2</v>
      </c>
      <c r="Z110" s="1" t="s">
        <v>251</v>
      </c>
      <c r="AA110" s="12" t="s">
        <v>25</v>
      </c>
    </row>
    <row r="111" s="1" customFormat="true" ht="14.9" hidden="false" customHeight="false" outlineLevel="0" collapsed="false">
      <c r="A111" s="1" t="s">
        <v>463</v>
      </c>
      <c r="B111" s="1" t="s">
        <v>464</v>
      </c>
      <c r="D111" s="1" t="s">
        <v>243</v>
      </c>
      <c r="F111" s="1" t="s">
        <v>465</v>
      </c>
      <c r="G111" s="1" t="n">
        <f aca="false">BoardQty*8</f>
        <v>40</v>
      </c>
      <c r="H111" s="13" t="n">
        <f aca="true">MINA(INDIRECT(ADDRESS(ROW(),COLUMN(newark_part_data)+2)),INDIRECT(ADDRESS(ROW(),COLUMN(digikey_part_data)+2)),INDIRECT(ADDRESS(ROW(),COLUMN(mouser_part_data)+2)))</f>
        <v>0.088</v>
      </c>
      <c r="I111" s="13" t="n">
        <f aca="false">IFERROR(G111*H111,"")</f>
        <v>3.52</v>
      </c>
      <c r="J111" s="1" t="n">
        <v>556963</v>
      </c>
      <c r="L111" s="13" t="n">
        <f aca="false">IFERROR(LOOKUP(IF(K111="",G111,K111),{0,1,50,100,250,500,1000,5000,10000,25000,50000,125000},{0,0.1,0.0212,0.0156,0.01188,0.0095,0.007,0.00456,0.00396,0.00348,0.00319,0.00313}),"")</f>
        <v>0.1</v>
      </c>
      <c r="M111" s="13" t="n">
        <f aca="false">IFERROR(IF(K111="",G111,K111)*L111,"")</f>
        <v>4</v>
      </c>
      <c r="N111" s="1" t="s">
        <v>466</v>
      </c>
      <c r="O111" s="12" t="s">
        <v>25</v>
      </c>
      <c r="V111" s="1" t="n">
        <v>2367</v>
      </c>
      <c r="X111" s="13" t="n">
        <f aca="false">IFERROR(LOOKUP(IF(W111="",G111,W111),{0,1,50,100,250,500,1000,2500},{0,0.088,0.025,0.019,0.014,0.011,0.007,0.006}),"")</f>
        <v>0.088</v>
      </c>
      <c r="Y111" s="13" t="n">
        <f aca="false">IFERROR(IF(W111="",G111,W111)*X111,"")</f>
        <v>3.52</v>
      </c>
      <c r="Z111" s="1" t="s">
        <v>467</v>
      </c>
      <c r="AA111" s="12" t="s">
        <v>25</v>
      </c>
    </row>
    <row r="112" s="1" customFormat="true" ht="14.9" hidden="false" customHeight="false" outlineLevel="0" collapsed="false">
      <c r="A112" s="1" t="s">
        <v>468</v>
      </c>
      <c r="B112" s="1" t="s">
        <v>372</v>
      </c>
      <c r="D112" s="1" t="s">
        <v>137</v>
      </c>
      <c r="F112" s="1" t="s">
        <v>375</v>
      </c>
      <c r="G112" s="1" t="n">
        <f aca="false">BoardQty*1</f>
        <v>5</v>
      </c>
      <c r="H112" s="13" t="n">
        <f aca="true">MINA(INDIRECT(ADDRESS(ROW(),COLUMN(newark_part_data)+2)),INDIRECT(ADDRESS(ROW(),COLUMN(digikey_part_data)+2)),INDIRECT(ADDRESS(ROW(),COLUMN(mouser_part_data)+2)))</f>
        <v>0.288</v>
      </c>
      <c r="I112" s="13" t="n">
        <f aca="false">IFERROR(G112*H112,"")</f>
        <v>1.44</v>
      </c>
      <c r="J112" s="1" t="n">
        <v>4931</v>
      </c>
      <c r="L112" s="13" t="n">
        <f aca="false">IFERROR(LOOKUP(IF(K112="",G112,K112),{0,1,10,25,50,100,250,500,1000,3000,6000,15000},{0,0.29,0.273,0.252,0.2432,0.2264,0.2016,0.168,0.1592,0.128,0.12,0.112}),"")</f>
        <v>0.29</v>
      </c>
      <c r="M112" s="13" t="n">
        <f aca="false">IFERROR(IF(K112="",G112,K112)*L112,"")</f>
        <v>1.45</v>
      </c>
      <c r="N112" s="1" t="s">
        <v>376</v>
      </c>
      <c r="O112" s="12" t="s">
        <v>25</v>
      </c>
      <c r="V112" s="1" t="n">
        <v>374</v>
      </c>
      <c r="X112" s="13" t="n">
        <f aca="false">IFERROR(LOOKUP(IF(W112="",G112,W112),{0,1,10,100,250,500,1000},{0,0.288,0.208,0.192,0.183,0.167,0.141}),"")</f>
        <v>0.288</v>
      </c>
      <c r="Y112" s="13" t="n">
        <f aca="false">IFERROR(IF(W112="",G112,W112)*X112,"")</f>
        <v>1.44</v>
      </c>
      <c r="Z112" s="1" t="s">
        <v>377</v>
      </c>
      <c r="AA112" s="12" t="s">
        <v>25</v>
      </c>
    </row>
    <row r="113" s="1" customFormat="true" ht="14.9" hidden="false" customHeight="false" outlineLevel="0" collapsed="false">
      <c r="A113" s="1" t="s">
        <v>469</v>
      </c>
      <c r="B113" s="1" t="s">
        <v>68</v>
      </c>
      <c r="D113" s="1" t="s">
        <v>69</v>
      </c>
      <c r="F113" s="1" t="s">
        <v>70</v>
      </c>
      <c r="G113" s="1" t="n">
        <f aca="false">BoardQty*1</f>
        <v>5</v>
      </c>
      <c r="H113" s="13" t="n">
        <f aca="true">MINA(INDIRECT(ADDRESS(ROW(),COLUMN(newark_part_data)+2)),INDIRECT(ADDRESS(ROW(),COLUMN(digikey_part_data)+2)),INDIRECT(ADDRESS(ROW(),COLUMN(mouser_part_data)+2)))</f>
        <v>0.35</v>
      </c>
      <c r="I113" s="13" t="n">
        <f aca="false">IFERROR(G113*H113,"")</f>
        <v>1.75</v>
      </c>
      <c r="J113" s="1" t="n">
        <v>56370</v>
      </c>
      <c r="L113" s="13" t="n">
        <f aca="false">IFERROR(LOOKUP(IF(K113="",G113,K113),{0,1,10,50,100,250,500,1000,2000,4000,9000,10000,14000,18000,27000,50000,63000,100000,225000},{0,0.35,0.308,0.187,0.154,0.1232,0.1122,0.1012,0.0792,0.0748,0.064,0.0704,0.0682,0.062,0.06,0.0616,0.056,0.0572,0.052}),"")</f>
        <v>0.35</v>
      </c>
      <c r="M113" s="13" t="n">
        <f aca="false">IFERROR(IF(K113="",G113,K113)*L113,"")</f>
        <v>1.75</v>
      </c>
      <c r="N113" s="1" t="s">
        <v>71</v>
      </c>
      <c r="O113" s="12" t="s">
        <v>25</v>
      </c>
      <c r="AA113" s="12" t="s">
        <v>25</v>
      </c>
    </row>
    <row r="114" s="1" customFormat="true" ht="14.9" hidden="false" customHeight="false" outlineLevel="0" collapsed="false">
      <c r="A114" s="1" t="s">
        <v>470</v>
      </c>
      <c r="B114" s="1" t="s">
        <v>68</v>
      </c>
      <c r="D114" s="1" t="s">
        <v>69</v>
      </c>
      <c r="F114" s="1" t="s">
        <v>74</v>
      </c>
      <c r="G114" s="1" t="n">
        <f aca="false">BoardQty*1</f>
        <v>5</v>
      </c>
      <c r="H114" s="13" t="n">
        <f aca="true">MINA(INDIRECT(ADDRESS(ROW(),COLUMN(newark_part_data)+2)),INDIRECT(ADDRESS(ROW(),COLUMN(digikey_part_data)+2)),INDIRECT(ADDRESS(ROW(),COLUMN(mouser_part_data)+2)))</f>
        <v>0.252</v>
      </c>
      <c r="I114" s="13" t="n">
        <f aca="false">IFERROR(G114*H114,"")</f>
        <v>1.26</v>
      </c>
      <c r="J114" s="1" t="n">
        <v>56370</v>
      </c>
      <c r="L114" s="13" t="n">
        <f aca="false">IFERROR(LOOKUP(IF(K114="",G114,K114),{0,1,10,50,100,250,500,1000,2000,4000,9000,10000,14000,18000,27000,50000,63000,100000,225000},{0,0.35,0.308,0.187,0.154,0.1232,0.1122,0.1012,0.0792,0.0748,0.064,0.0704,0.0682,0.062,0.06,0.0616,0.056,0.0572,0.052}),"")</f>
        <v>0.35</v>
      </c>
      <c r="M114" s="13" t="n">
        <f aca="false">IFERROR(IF(K114="",G114,K114)*L114,"")</f>
        <v>1.75</v>
      </c>
      <c r="N114" s="1" t="s">
        <v>71</v>
      </c>
      <c r="O114" s="12" t="s">
        <v>25</v>
      </c>
      <c r="V114" s="1" t="n">
        <v>1652</v>
      </c>
      <c r="X114" s="13" t="n">
        <f aca="false">IFERROR(LOOKUP(IF(W114="",G114,W114),{0,1,10,25,50,100,250,1000},{0,0.252,0.219,0.155,0.132,0.109,0.087,0.07}),"")</f>
        <v>0.252</v>
      </c>
      <c r="Y114" s="13" t="n">
        <f aca="false">IFERROR(IF(W114="",G114,W114)*X114,"")</f>
        <v>1.26</v>
      </c>
      <c r="Z114" s="1" t="s">
        <v>75</v>
      </c>
      <c r="AA114" s="12" t="s">
        <v>25</v>
      </c>
    </row>
    <row r="115" s="1" customFormat="true" ht="14.9" hidden="false" customHeight="false" outlineLevel="0" collapsed="false">
      <c r="A115" s="1" t="s">
        <v>471</v>
      </c>
      <c r="B115" s="1" t="s">
        <v>472</v>
      </c>
      <c r="D115" s="1" t="s">
        <v>22</v>
      </c>
      <c r="F115" s="1" t="s">
        <v>23</v>
      </c>
      <c r="G115" s="1" t="n">
        <f aca="false">BoardQty*5</f>
        <v>25</v>
      </c>
      <c r="H115" s="13" t="n">
        <f aca="true">MINA(INDIRECT(ADDRESS(ROW(),COLUMN(newark_part_data)+2)),INDIRECT(ADDRESS(ROW(),COLUMN(digikey_part_data)+2)),INDIRECT(ADDRESS(ROW(),COLUMN(mouser_part_data)+2)))</f>
        <v>0.007</v>
      </c>
      <c r="I115" s="13" t="n">
        <f aca="false">IFERROR(G115*H115,"")</f>
        <v>0.175</v>
      </c>
      <c r="J115" s="1" t="n">
        <v>2594840</v>
      </c>
      <c r="L115" s="13" t="n">
        <f aca="false">IFERROR(LOOKUP(IF(K115="",G115,K115),{0,1,10,25,100,250,500,1000,2500,5000,10000,25000,50000,125000},{0,0.1,0.011,0.008,0.0044,0.00336,0.0027,0.00198,0.00172,0.00129,0.00112,0.00099,0.0009,0.00089}),"")</f>
        <v>0.008</v>
      </c>
      <c r="M115" s="13" t="n">
        <f aca="false">IFERROR(IF(K115="",G115,K115)*L115,"")</f>
        <v>0.2</v>
      </c>
      <c r="N115" s="1" t="s">
        <v>24</v>
      </c>
      <c r="O115" s="12" t="s">
        <v>25</v>
      </c>
      <c r="V115" s="1" t="n">
        <v>9500</v>
      </c>
      <c r="X115" s="13" t="n">
        <f aca="false">IFERROR(LOOKUP(IF(W115="",G115,W115),{0,1,10,25,100,250,1000},{0,0.06,0.01,0.007,0.004,0.003,0.002}),"")</f>
        <v>0.007</v>
      </c>
      <c r="Y115" s="13" t="n">
        <f aca="false">IFERROR(IF(W115="",G115,W115)*X115,"")</f>
        <v>0.175</v>
      </c>
      <c r="Z115" s="1" t="s">
        <v>27</v>
      </c>
      <c r="AA115" s="12" t="s">
        <v>25</v>
      </c>
    </row>
    <row r="116" s="1" customFormat="true" ht="14.9" hidden="false" customHeight="false" outlineLevel="0" collapsed="false">
      <c r="A116" s="1" t="s">
        <v>473</v>
      </c>
      <c r="B116" s="1" t="s">
        <v>474</v>
      </c>
      <c r="D116" s="1" t="s">
        <v>475</v>
      </c>
      <c r="F116" s="1" t="s">
        <v>476</v>
      </c>
      <c r="G116" s="1" t="n">
        <f aca="false">BoardQty*1</f>
        <v>5</v>
      </c>
      <c r="H116" s="13" t="n">
        <f aca="true">MINA(INDIRECT(ADDRESS(ROW(),COLUMN(newark_part_data)+2)),INDIRECT(ADDRESS(ROW(),COLUMN(digikey_part_data)+2)),INDIRECT(ADDRESS(ROW(),COLUMN(mouser_part_data)+2)))</f>
        <v>0.52</v>
      </c>
      <c r="I116" s="13" t="n">
        <f aca="false">IFERROR(G116*H116,"")</f>
        <v>2.6</v>
      </c>
      <c r="J116" s="1" t="n">
        <v>32649</v>
      </c>
      <c r="L116" s="13" t="n">
        <f aca="false">IFERROR(LOOKUP(IF(K116="",G116,K116),{0,1,10,100,500,1000,3000,6000,15000,30000,75000,150000},{0,0.52,0.448,0.3347,0.26286,0.20265,0.17949,0.16791,0.15633,0.14822,0.14475,0.13896}),"")</f>
        <v>0.52</v>
      </c>
      <c r="M116" s="13" t="n">
        <f aca="false">IFERROR(IF(K116="",G116,K116)*L116,"")</f>
        <v>2.6</v>
      </c>
      <c r="N116" s="1" t="s">
        <v>477</v>
      </c>
      <c r="O116" s="12" t="s">
        <v>25</v>
      </c>
      <c r="V116" s="1" t="n">
        <v>1700</v>
      </c>
      <c r="X116" s="13" t="n">
        <f aca="false">IFERROR(LOOKUP(IF(W116="",G116,W116),{0,1,10,25,100,250,500,1000},{0,0.568,0.477,0.418,0.357,0.311,0.262,0.202}),"")</f>
        <v>0.568</v>
      </c>
      <c r="Y116" s="13" t="n">
        <f aca="false">IFERROR(IF(W116="",G116,W116)*X116,"")</f>
        <v>2.84</v>
      </c>
      <c r="Z116" s="1" t="s">
        <v>478</v>
      </c>
      <c r="AA116" s="12" t="s">
        <v>25</v>
      </c>
    </row>
    <row r="117" s="1" customFormat="true" ht="14.9" hidden="false" customHeight="false" outlineLevel="0" collapsed="false">
      <c r="A117" s="1" t="s">
        <v>479</v>
      </c>
      <c r="B117" s="1" t="s">
        <v>480</v>
      </c>
      <c r="D117" s="1" t="s">
        <v>481</v>
      </c>
      <c r="F117" s="1" t="s">
        <v>482</v>
      </c>
      <c r="G117" s="1" t="n">
        <f aca="false">BoardQty*2</f>
        <v>10</v>
      </c>
      <c r="H117" s="13" t="n">
        <f aca="true">MINA(INDIRECT(ADDRESS(ROW(),COLUMN(newark_part_data)+2)),INDIRECT(ADDRESS(ROW(),COLUMN(digikey_part_data)+2)),INDIRECT(ADDRESS(ROW(),COLUMN(mouser_part_data)+2)))</f>
        <v>0.204</v>
      </c>
      <c r="I117" s="13" t="n">
        <f aca="false">IFERROR(G117*H117,"")</f>
        <v>2.04</v>
      </c>
      <c r="O117" s="12" t="s">
        <v>25</v>
      </c>
      <c r="V117" s="1" t="n">
        <v>388</v>
      </c>
      <c r="X117" s="13" t="n">
        <f aca="false">IFERROR(LOOKUP(IF(W117="",G117,W117),{0,1,10,100,250,500,1000,2500,5000},{0,0.255,0.204,0.197,0.18,0.165,0.148,0.13,0.112}),"")</f>
        <v>0.204</v>
      </c>
      <c r="Y117" s="13" t="n">
        <f aca="false">IFERROR(IF(W117="",G117,W117)*X117,"")</f>
        <v>2.04</v>
      </c>
      <c r="Z117" s="1" t="s">
        <v>483</v>
      </c>
      <c r="AA117" s="12" t="s">
        <v>25</v>
      </c>
    </row>
    <row r="118" s="1" customFormat="true" ht="14.9" hidden="false" customHeight="false" outlineLevel="0" collapsed="false">
      <c r="A118" s="1" t="s">
        <v>484</v>
      </c>
      <c r="B118" s="1" t="s">
        <v>485</v>
      </c>
      <c r="D118" s="1" t="s">
        <v>22</v>
      </c>
      <c r="F118" s="1" t="s">
        <v>161</v>
      </c>
      <c r="G118" s="1" t="n">
        <f aca="false">BoardQty*1</f>
        <v>5</v>
      </c>
      <c r="H118" s="13" t="n">
        <f aca="true">MINA(INDIRECT(ADDRESS(ROW(),COLUMN(newark_part_data)+2)),INDIRECT(ADDRESS(ROW(),COLUMN(digikey_part_data)+2)),INDIRECT(ADDRESS(ROW(),COLUMN(mouser_part_data)+2)))</f>
        <v>0.06</v>
      </c>
      <c r="I118" s="13" t="n">
        <f aca="false">IFERROR(G118*H118,"")</f>
        <v>0.3</v>
      </c>
      <c r="J118" s="1" t="n">
        <v>216465</v>
      </c>
      <c r="L118" s="13" t="n">
        <f aca="false">IFERROR(LOOKUP(IF(K118="",G118,K118),{0,1,10,25,100,250,500,1000,2500,5000,10000,25000,50000,125000},{0,0.1,0.011,0.008,0.0044,0.00336,0.0027,0.00198,0.00172,0.00129,0.00112,0.00099,0.0009,0.00089}),"")</f>
        <v>0.1</v>
      </c>
      <c r="M118" s="13" t="n">
        <f aca="false">IFERROR(IF(K118="",G118,K118)*L118,"")</f>
        <v>0.5</v>
      </c>
      <c r="N118" s="1" t="s">
        <v>162</v>
      </c>
      <c r="O118" s="12" t="s">
        <v>25</v>
      </c>
      <c r="V118" s="1" t="n">
        <v>11857</v>
      </c>
      <c r="X118" s="13" t="n">
        <f aca="false">IFERROR(LOOKUP(IF(W118="",G118,W118),{0,1,10,25,100,250,1000},{0,0.06,0.01,0.007,0.004,0.003,0.002}),"")</f>
        <v>0.06</v>
      </c>
      <c r="Y118" s="13" t="n">
        <f aca="false">IFERROR(IF(W118="",G118,W118)*X118,"")</f>
        <v>0.3</v>
      </c>
      <c r="Z118" s="1" t="s">
        <v>164</v>
      </c>
      <c r="AA118" s="12" t="s">
        <v>25</v>
      </c>
    </row>
    <row r="119" s="1" customFormat="true" ht="14.9" hidden="false" customHeight="false" outlineLevel="0" collapsed="false">
      <c r="A119" s="1" t="s">
        <v>486</v>
      </c>
      <c r="B119" s="1" t="s">
        <v>457</v>
      </c>
      <c r="D119" s="1" t="s">
        <v>487</v>
      </c>
      <c r="F119" s="1" t="s">
        <v>459</v>
      </c>
      <c r="G119" s="1" t="n">
        <f aca="false">BoardQty*1</f>
        <v>5</v>
      </c>
      <c r="H119" s="13" t="n">
        <f aca="true">MINA(INDIRECT(ADDRESS(ROW(),COLUMN(newark_part_data)+2)),INDIRECT(ADDRESS(ROW(),COLUMN(digikey_part_data)+2)),INDIRECT(ADDRESS(ROW(),COLUMN(mouser_part_data)+2)))</f>
        <v>0.28</v>
      </c>
      <c r="I119" s="13" t="n">
        <f aca="false">IFERROR(G119*H119,"")</f>
        <v>1.4</v>
      </c>
      <c r="J119" s="1" t="n">
        <v>14612</v>
      </c>
      <c r="L119" s="13" t="n">
        <f aca="false">IFERROR(LOOKUP(IF(K119="",G119,K119),{0,1,10,100,500,1000,3000,6000,15000,30000,75000,150000},{0,0.28,0.229,0.1215,0.0799,0.05444,0.04761,0.0414,0.03519,0.03312,0.03105,0.02691}),"")</f>
        <v>0.28</v>
      </c>
      <c r="M119" s="13" t="n">
        <f aca="false">IFERROR(IF(K119="",G119,K119)*L119,"")</f>
        <v>1.4</v>
      </c>
      <c r="N119" s="1" t="s">
        <v>460</v>
      </c>
      <c r="O119" s="12" t="s">
        <v>25</v>
      </c>
      <c r="V119" s="1" t="n">
        <v>3089</v>
      </c>
      <c r="X119" s="13" t="n">
        <f aca="false">IFERROR(LOOKUP(IF(W119="",G119,W119),{0,1,10,100,1000},{0,0.288,0.192,0.081,0.055}),"")</f>
        <v>0.288</v>
      </c>
      <c r="Y119" s="13" t="n">
        <f aca="false">IFERROR(IF(W119="",G119,W119)*X119,"")</f>
        <v>1.44</v>
      </c>
      <c r="Z119" s="1" t="s">
        <v>461</v>
      </c>
      <c r="AA119" s="12" t="s">
        <v>25</v>
      </c>
    </row>
    <row r="120" s="1" customFormat="true" ht="14.9" hidden="false" customHeight="false" outlineLevel="0" collapsed="false">
      <c r="A120" s="1" t="s">
        <v>488</v>
      </c>
      <c r="B120" s="1" t="s">
        <v>489</v>
      </c>
      <c r="D120" s="1" t="s">
        <v>256</v>
      </c>
      <c r="F120" s="1" t="s">
        <v>490</v>
      </c>
      <c r="G120" s="1" t="n">
        <f aca="false">BoardQty*1</f>
        <v>5</v>
      </c>
      <c r="H120" s="13" t="n">
        <f aca="true">MINA(INDIRECT(ADDRESS(ROW(),COLUMN(newark_part_data)+2)),INDIRECT(ADDRESS(ROW(),COLUMN(digikey_part_data)+2)),INDIRECT(ADDRESS(ROW(),COLUMN(mouser_part_data)+2)))</f>
        <v>0.3</v>
      </c>
      <c r="I120" s="13" t="n">
        <f aca="false">IFERROR(G120*H120,"")</f>
        <v>1.5</v>
      </c>
      <c r="J120" s="1" t="n">
        <v>16418</v>
      </c>
      <c r="L120" s="13" t="n">
        <f aca="false">IFERROR(LOOKUP(IF(K120="",G120,K120),{0,1,10,100,500,1000,2500,5000,12500,25000,62500,125000},{0,0.47,0.351,0.2185,0.1495,0.115,0.1035,0.09775,0.08912,0.08338,0.07475,0.07188}),"")</f>
        <v>0.47</v>
      </c>
      <c r="M120" s="13" t="n">
        <f aca="false">IFERROR(IF(K120="",G120,K120)*L120,"")</f>
        <v>2.35</v>
      </c>
      <c r="N120" s="1" t="s">
        <v>491</v>
      </c>
      <c r="O120" s="12" t="s">
        <v>25</v>
      </c>
      <c r="V120" s="1" t="n">
        <v>4451</v>
      </c>
      <c r="X120" s="13" t="n">
        <f aca="false">IFERROR(LOOKUP(IF(W120="",G120,W120),{0,1,10,100,1000,2500,10000,25000,50000},{0,0.3,0.212,0.098,0.075,0.064,0.058,0.054,0.049}),"")</f>
        <v>0.3</v>
      </c>
      <c r="Y120" s="13" t="n">
        <f aca="false">IFERROR(IF(W120="",G120,W120)*X120,"")</f>
        <v>1.5</v>
      </c>
      <c r="Z120" s="1" t="s">
        <v>492</v>
      </c>
      <c r="AA120" s="12" t="s">
        <v>25</v>
      </c>
    </row>
    <row r="121" s="1" customFormat="true" ht="14.9" hidden="false" customHeight="false" outlineLevel="0" collapsed="false">
      <c r="A121" s="1" t="s">
        <v>493</v>
      </c>
      <c r="B121" s="1" t="s">
        <v>494</v>
      </c>
      <c r="D121" s="1" t="s">
        <v>22</v>
      </c>
      <c r="F121" s="1" t="s">
        <v>495</v>
      </c>
      <c r="G121" s="1" t="n">
        <f aca="false">BoardQty*4</f>
        <v>20</v>
      </c>
      <c r="H121" s="13" t="n">
        <f aca="true">MINA(INDIRECT(ADDRESS(ROW(),COLUMN(newark_part_data)+2)),INDIRECT(ADDRESS(ROW(),COLUMN(digikey_part_data)+2)),INDIRECT(ADDRESS(ROW(),COLUMN(mouser_part_data)+2)))</f>
        <v>0.014</v>
      </c>
      <c r="I121" s="13" t="n">
        <f aca="false">IFERROR(G121*H121,"")</f>
        <v>0.28</v>
      </c>
      <c r="J121" s="1" t="n">
        <v>1463025</v>
      </c>
      <c r="L121" s="13" t="n">
        <f aca="false">IFERROR(LOOKUP(IF(K121="",G121,K121),{0,1,10,25,100,250,500,1000,2500,5000,10000,25000,50000,125000},{0,0.1,0.014,0.01,0.0057,0.00436,0.00348,0.00257,0.00223,0.00167,0.00145,0.00128,0.00117,0.00115}),"")</f>
        <v>0.014</v>
      </c>
      <c r="M121" s="13" t="n">
        <f aca="false">IFERROR(IF(K121="",G121,K121)*L121,"")</f>
        <v>0.28</v>
      </c>
      <c r="N121" s="1" t="s">
        <v>496</v>
      </c>
      <c r="O121" s="12" t="s">
        <v>25</v>
      </c>
      <c r="V121" s="1" t="n">
        <v>4723</v>
      </c>
      <c r="X121" s="13" t="n">
        <f aca="false">IFERROR(LOOKUP(IF(W121="",G121,W121),{0,1,10,25,100,250,1000},{0,0.08,0.014,0.01,0.006,0.004,0.003}),"")</f>
        <v>0.014</v>
      </c>
      <c r="Y121" s="13" t="n">
        <f aca="false">IFERROR(IF(W121="",G121,W121)*X121,"")</f>
        <v>0.28</v>
      </c>
      <c r="Z121" s="1" t="s">
        <v>497</v>
      </c>
      <c r="AA121" s="12" t="s">
        <v>25</v>
      </c>
    </row>
    <row r="122" s="1" customFormat="true" ht="14.9" hidden="false" customHeight="false" outlineLevel="0" collapsed="false">
      <c r="A122" s="1" t="s">
        <v>498</v>
      </c>
      <c r="B122" s="1" t="s">
        <v>499</v>
      </c>
      <c r="D122" s="1" t="s">
        <v>500</v>
      </c>
      <c r="F122" s="1" t="s">
        <v>501</v>
      </c>
      <c r="G122" s="1" t="n">
        <f aca="false">BoardQty*5</f>
        <v>25</v>
      </c>
      <c r="H122" s="13" t="n">
        <f aca="true">MINA(INDIRECT(ADDRESS(ROW(),COLUMN(newark_part_data)+2)),INDIRECT(ADDRESS(ROW(),COLUMN(digikey_part_data)+2)),INDIRECT(ADDRESS(ROW(),COLUMN(mouser_part_data)+2)))</f>
        <v>0.399</v>
      </c>
      <c r="I122" s="13" t="n">
        <f aca="false">IFERROR(G122*H122,"")</f>
        <v>9.975</v>
      </c>
      <c r="J122" s="1" t="n">
        <v>34147</v>
      </c>
      <c r="L122" s="13" t="n">
        <f aca="false">IFERROR(LOOKUP(IF(K122="",G122,K122),{0,1,10,50,100,250,500,1000,2500,5000},{0,0.42,0.399,0.2908,0.2793,0.2508,0.2394,0.1995,0.1824,0.171}),"")</f>
        <v>0.399</v>
      </c>
      <c r="M122" s="13" t="n">
        <f aca="false">IFERROR(IF(K122="",G122,K122)*L122,"")</f>
        <v>9.975</v>
      </c>
      <c r="N122" s="1" t="s">
        <v>502</v>
      </c>
      <c r="O122" s="12" t="s">
        <v>25</v>
      </c>
      <c r="V122" s="1" t="n">
        <v>1295</v>
      </c>
      <c r="X122" s="13" t="n">
        <f aca="false">IFERROR(LOOKUP(IF(W122="",G122,W122),{0,1,10,100,500,1000},{0,0.708,0.64,0.568,0.495,0.422}),"")</f>
        <v>0.64</v>
      </c>
      <c r="Y122" s="13" t="n">
        <f aca="false">IFERROR(IF(W122="",G122,W122)*X122,"")</f>
        <v>16</v>
      </c>
      <c r="Z122" s="1" t="s">
        <v>503</v>
      </c>
      <c r="AA122" s="12" t="s">
        <v>25</v>
      </c>
    </row>
    <row r="123" s="1" customFormat="true" ht="13.8" hidden="false" customHeight="false" outlineLevel="0" collapsed="false">
      <c r="A123" s="1" t="s">
        <v>504</v>
      </c>
      <c r="B123" s="1" t="s">
        <v>505</v>
      </c>
      <c r="D123" s="1" t="s">
        <v>506</v>
      </c>
      <c r="G123" s="1" t="n">
        <f aca="false">BoardQty*1</f>
        <v>5</v>
      </c>
      <c r="H123" s="13" t="n">
        <f aca="true">MINA(INDIRECT(ADDRESS(ROW(),COLUMN(newark_part_data)+2)),INDIRECT(ADDRESS(ROW(),COLUMN(digikey_part_data)+2)),INDIRECT(ADDRESS(ROW(),COLUMN(mouser_part_data)+2)))</f>
        <v>0</v>
      </c>
      <c r="I123" s="13" t="n">
        <f aca="false">IFERROR(G123*H123,"")</f>
        <v>0</v>
      </c>
    </row>
    <row r="124" s="1" customFormat="true" ht="14.9" hidden="false" customHeight="false" outlineLevel="0" collapsed="false">
      <c r="A124" s="1" t="s">
        <v>507</v>
      </c>
      <c r="B124" s="1" t="s">
        <v>508</v>
      </c>
      <c r="D124" s="1" t="s">
        <v>110</v>
      </c>
      <c r="F124" s="1" t="s">
        <v>509</v>
      </c>
      <c r="G124" s="1" t="n">
        <f aca="false">BoardQty*2</f>
        <v>10</v>
      </c>
      <c r="H124" s="13" t="n">
        <f aca="true">MINA(INDIRECT(ADDRESS(ROW(),COLUMN(newark_part_data)+2)),INDIRECT(ADDRESS(ROW(),COLUMN(digikey_part_data)+2)),INDIRECT(ADDRESS(ROW(),COLUMN(mouser_part_data)+2)))</f>
        <v>0</v>
      </c>
      <c r="I124" s="13" t="n">
        <f aca="false">IFERROR(G124*H124,"")</f>
        <v>0</v>
      </c>
      <c r="O124" s="12" t="s">
        <v>25</v>
      </c>
    </row>
    <row r="125" s="1" customFormat="true" ht="14.9" hidden="false" customHeight="false" outlineLevel="0" collapsed="false">
      <c r="A125" s="1" t="s">
        <v>510</v>
      </c>
      <c r="B125" s="1" t="s">
        <v>511</v>
      </c>
      <c r="D125" s="1" t="s">
        <v>487</v>
      </c>
      <c r="F125" s="1" t="s">
        <v>511</v>
      </c>
      <c r="G125" s="1" t="n">
        <f aca="false">BoardQty*1</f>
        <v>5</v>
      </c>
      <c r="H125" s="13" t="n">
        <f aca="true">MINA(INDIRECT(ADDRESS(ROW(),COLUMN(newark_part_data)+2)),INDIRECT(ADDRESS(ROW(),COLUMN(digikey_part_data)+2)),INDIRECT(ADDRESS(ROW(),COLUMN(mouser_part_data)+2)))</f>
        <v>0.36</v>
      </c>
      <c r="I125" s="13" t="n">
        <f aca="false">IFERROR(G125*H125,"")</f>
        <v>1.8</v>
      </c>
      <c r="J125" s="1" t="n">
        <v>6007</v>
      </c>
      <c r="L125" s="13" t="n">
        <f aca="false">IFERROR(LOOKUP(IF(K125="",G125,K125),{0,1,10,100,500,1000,4000,8000,12000,28000,100000,200000},{0,0.36,0.292,0.199,0.14894,0.11156,0.0995,0.09347,0.08744,0.0802,0.07538,0.07417}),"")</f>
        <v>0.36</v>
      </c>
      <c r="M125" s="13" t="n">
        <f aca="false">IFERROR(IF(K125="",G125,K125)*L125,"")</f>
        <v>1.8</v>
      </c>
      <c r="N125" s="1" t="s">
        <v>512</v>
      </c>
      <c r="O125" s="12" t="s">
        <v>25</v>
      </c>
      <c r="AA125" s="12" t="s">
        <v>25</v>
      </c>
    </row>
    <row r="126" s="1" customFormat="true" ht="13.8" hidden="false" customHeight="false" outlineLevel="0" collapsed="false">
      <c r="A126" s="1" t="s">
        <v>513</v>
      </c>
      <c r="B126" s="1" t="s">
        <v>514</v>
      </c>
      <c r="D126" s="1" t="s">
        <v>110</v>
      </c>
      <c r="G126" s="1" t="n">
        <f aca="false">BoardQty*1</f>
        <v>5</v>
      </c>
      <c r="H126" s="13" t="n">
        <f aca="true">MINA(INDIRECT(ADDRESS(ROW(),COLUMN(newark_part_data)+2)),INDIRECT(ADDRESS(ROW(),COLUMN(digikey_part_data)+2)),INDIRECT(ADDRESS(ROW(),COLUMN(mouser_part_data)+2)))</f>
        <v>0</v>
      </c>
      <c r="I126" s="13" t="n">
        <f aca="false">IFERROR(G126*H126,"")</f>
        <v>0</v>
      </c>
    </row>
    <row r="127" s="1" customFormat="true" ht="14.9" hidden="false" customHeight="false" outlineLevel="0" collapsed="false">
      <c r="A127" s="1" t="s">
        <v>515</v>
      </c>
      <c r="B127" s="1" t="s">
        <v>516</v>
      </c>
      <c r="D127" s="1" t="s">
        <v>35</v>
      </c>
      <c r="F127" s="1" t="s">
        <v>517</v>
      </c>
      <c r="G127" s="1" t="n">
        <f aca="false">BoardQty*1</f>
        <v>5</v>
      </c>
      <c r="H127" s="13" t="n">
        <f aca="true">MINA(INDIRECT(ADDRESS(ROW(),COLUMN(newark_part_data)+2)),INDIRECT(ADDRESS(ROW(),COLUMN(digikey_part_data)+2)),INDIRECT(ADDRESS(ROW(),COLUMN(mouser_part_data)+2)))</f>
        <v>0.82</v>
      </c>
      <c r="I127" s="13" t="n">
        <f aca="false">IFERROR(G127*H127,"")</f>
        <v>4.1</v>
      </c>
      <c r="J127" s="1" t="n">
        <v>4979</v>
      </c>
      <c r="L127" s="13" t="n">
        <f aca="false">IFERROR(LOOKUP(IF(K127="",G127,K127),{0,1,25,100,2500},{0,0.82,0.68,0.62,0.62}),"")</f>
        <v>0.82</v>
      </c>
      <c r="M127" s="13" t="n">
        <f aca="false">IFERROR(IF(K127="",G127,K127)*L127,"")</f>
        <v>4.1</v>
      </c>
      <c r="N127" s="1" t="s">
        <v>518</v>
      </c>
      <c r="O127" s="12" t="s">
        <v>25</v>
      </c>
      <c r="V127" s="1" t="n">
        <v>555</v>
      </c>
      <c r="X127" s="13" t="n">
        <f aca="false">IFERROR(LOOKUP(IF(W127="",G127,W127),{0,1,25,100,500,1000},{0,1.07,0.955,0.866,0.774,0.722}),"")</f>
        <v>1.07</v>
      </c>
      <c r="Y127" s="13" t="n">
        <f aca="false">IFERROR(IF(W127="",G127,W127)*X127,"")</f>
        <v>5.35</v>
      </c>
      <c r="Z127" s="1" t="s">
        <v>519</v>
      </c>
      <c r="AA127" s="12" t="s">
        <v>25</v>
      </c>
    </row>
    <row r="128" s="1" customFormat="true" ht="14.9" hidden="false" customHeight="false" outlineLevel="0" collapsed="false">
      <c r="A128" s="1" t="s">
        <v>520</v>
      </c>
      <c r="B128" s="1" t="s">
        <v>521</v>
      </c>
      <c r="D128" s="1" t="s">
        <v>22</v>
      </c>
      <c r="F128" s="1" t="s">
        <v>522</v>
      </c>
      <c r="G128" s="1" t="n">
        <f aca="false">BoardQty*1</f>
        <v>5</v>
      </c>
      <c r="H128" s="13" t="n">
        <f aca="true">MINA(INDIRECT(ADDRESS(ROW(),COLUMN(newark_part_data)+2)),INDIRECT(ADDRESS(ROW(),COLUMN(digikey_part_data)+2)),INDIRECT(ADDRESS(ROW(),COLUMN(mouser_part_data)+2)))</f>
        <v>0.1</v>
      </c>
      <c r="I128" s="13" t="n">
        <f aca="false">IFERROR(G128*H128,"")</f>
        <v>0.5</v>
      </c>
      <c r="J128" s="1" t="n">
        <v>240614</v>
      </c>
      <c r="L128" s="13" t="n">
        <f aca="false">IFERROR(LOOKUP(IF(K128="",G128,K128),{0,1,10,25,100,250,500,1000,2500,5000,10000,25000,50000,125000},{0,0.1,0.014,0.01,0.0057,0.00436,0.00348,0.00257,0.00223,0.00167,0.00145,0.00128,0.00117,0.00115}),"")</f>
        <v>0.1</v>
      </c>
      <c r="M128" s="13" t="n">
        <f aca="false">IFERROR(IF(K128="",G128,K128)*L128,"")</f>
        <v>0.5</v>
      </c>
      <c r="N128" s="1" t="s">
        <v>300</v>
      </c>
      <c r="O128" s="12" t="s">
        <v>25</v>
      </c>
      <c r="AA128" s="12" t="s">
        <v>25</v>
      </c>
    </row>
    <row r="129" s="1" customFormat="true" ht="13.8" hidden="false" customHeight="false" outlineLevel="0" collapsed="false">
      <c r="A129" s="1" t="s">
        <v>523</v>
      </c>
      <c r="B129" s="1" t="s">
        <v>524</v>
      </c>
      <c r="D129" s="1" t="s">
        <v>525</v>
      </c>
      <c r="G129" s="1" t="n">
        <f aca="false">BoardQty*5</f>
        <v>25</v>
      </c>
      <c r="H129" s="13" t="n">
        <f aca="true">MINA(INDIRECT(ADDRESS(ROW(),COLUMN(newark_part_data)+2)),INDIRECT(ADDRESS(ROW(),COLUMN(digikey_part_data)+2)),INDIRECT(ADDRESS(ROW(),COLUMN(mouser_part_data)+2)))</f>
        <v>0</v>
      </c>
      <c r="I129" s="13" t="n">
        <f aca="false">IFERROR(G129*H129,"")</f>
        <v>0</v>
      </c>
    </row>
    <row r="130" s="1" customFormat="true" ht="14.9" hidden="false" customHeight="false" outlineLevel="0" collapsed="false">
      <c r="A130" s="1" t="s">
        <v>526</v>
      </c>
      <c r="B130" s="1" t="s">
        <v>527</v>
      </c>
      <c r="D130" s="1" t="s">
        <v>528</v>
      </c>
      <c r="F130" s="1" t="s">
        <v>529</v>
      </c>
      <c r="G130" s="1" t="n">
        <f aca="false">BoardQty*1</f>
        <v>5</v>
      </c>
      <c r="H130" s="13" t="n">
        <f aca="true">MINA(INDIRECT(ADDRESS(ROW(),COLUMN(newark_part_data)+2)),INDIRECT(ADDRESS(ROW(),COLUMN(digikey_part_data)+2)),INDIRECT(ADDRESS(ROW(),COLUMN(mouser_part_data)+2)))</f>
        <v>6.71</v>
      </c>
      <c r="I130" s="13" t="n">
        <f aca="false">IFERROR(G130*H130,"")</f>
        <v>33.55</v>
      </c>
      <c r="J130" s="1" t="n">
        <v>452</v>
      </c>
      <c r="L130" s="13" t="n">
        <f aca="false">IFERROR(LOOKUP(IF(K130="",G130,K130),{0,1,10,50,100,160,250,500,1000},{0,6.71,6.2,5.77,5.4,5.4,4.56,4.06,3.69999}),"")</f>
        <v>6.71</v>
      </c>
      <c r="M130" s="13" t="n">
        <f aca="false">IFERROR(IF(K130="",G130,K130)*L130,"")</f>
        <v>33.55</v>
      </c>
      <c r="N130" s="1" t="s">
        <v>530</v>
      </c>
      <c r="O130" s="12" t="s">
        <v>25</v>
      </c>
      <c r="V130" s="1" t="n">
        <v>5653</v>
      </c>
      <c r="X130" s="13" t="n">
        <f aca="false">IFERROR(LOOKUP(IF(W130="",G130,W130),{0,1,50,100,250,500},{0,10.23,9.24,8.51,7.84,7.33}),"")</f>
        <v>10.23</v>
      </c>
      <c r="Y130" s="13" t="n">
        <f aca="false">IFERROR(IF(W130="",G130,W130)*X130,"")</f>
        <v>51.15</v>
      </c>
      <c r="Z130" s="1" t="s">
        <v>531</v>
      </c>
      <c r="AA130" s="12" t="s">
        <v>25</v>
      </c>
    </row>
    <row r="131" s="1" customFormat="true" ht="14.9" hidden="false" customHeight="false" outlineLevel="0" collapsed="false">
      <c r="A131" s="1" t="s">
        <v>532</v>
      </c>
      <c r="B131" s="1" t="s">
        <v>533</v>
      </c>
      <c r="D131" s="1" t="s">
        <v>357</v>
      </c>
      <c r="F131" s="1" t="s">
        <v>534</v>
      </c>
      <c r="G131" s="1" t="n">
        <f aca="false">BoardQty*4</f>
        <v>20</v>
      </c>
      <c r="H131" s="13" t="n">
        <f aca="true">MINA(INDIRECT(ADDRESS(ROW(),COLUMN(newark_part_data)+2)),INDIRECT(ADDRESS(ROW(),COLUMN(digikey_part_data)+2)),INDIRECT(ADDRESS(ROW(),COLUMN(mouser_part_data)+2)))</f>
        <v>0.269</v>
      </c>
      <c r="I131" s="13" t="n">
        <f aca="false">IFERROR(G131*H131,"")</f>
        <v>5.38</v>
      </c>
      <c r="J131" s="1" t="n">
        <v>417894</v>
      </c>
      <c r="L131" s="13" t="n">
        <f aca="false">IFERROR(LOOKUP(IF(K131="",G131,K131),{0,1,10,100,500,1000,3000,6000,15000,30000,75000,150000},{0,0.4,0.331,0.1755,0.11542,0.07864,0.06877,0.0598,0.05083,0.04784,0.04485,0.03887}),"")</f>
        <v>0.331</v>
      </c>
      <c r="M131" s="13" t="n">
        <f aca="false">IFERROR(IF(K131="",G131,K131)*L131,"")</f>
        <v>6.62</v>
      </c>
      <c r="N131" s="1" t="s">
        <v>535</v>
      </c>
      <c r="O131" s="12" t="s">
        <v>25</v>
      </c>
      <c r="V131" s="1" t="n">
        <v>2264</v>
      </c>
      <c r="X131" s="13" t="n">
        <f aca="false">IFERROR(LOOKUP(IF(W131="",G131,W131),{0,1,10,100,1000},{0,0.391,0.269,0.113,0.077}),"")</f>
        <v>0.269</v>
      </c>
      <c r="Y131" s="13" t="n">
        <f aca="false">IFERROR(IF(W131="",G131,W131)*X131,"")</f>
        <v>5.38</v>
      </c>
      <c r="Z131" s="1" t="s">
        <v>536</v>
      </c>
      <c r="AA131" s="12" t="s">
        <v>25</v>
      </c>
    </row>
    <row r="132" s="1" customFormat="true" ht="14.9" hidden="false" customHeight="false" outlineLevel="0" collapsed="false">
      <c r="A132" s="1" t="s">
        <v>537</v>
      </c>
      <c r="B132" s="1" t="s">
        <v>538</v>
      </c>
      <c r="D132" s="1" t="s">
        <v>110</v>
      </c>
      <c r="F132" s="1" t="s">
        <v>539</v>
      </c>
      <c r="G132" s="1" t="n">
        <f aca="false">BoardQty*4</f>
        <v>20</v>
      </c>
      <c r="H132" s="13" t="n">
        <f aca="true">MINA(INDIRECT(ADDRESS(ROW(),COLUMN(newark_part_data)+2)),INDIRECT(ADDRESS(ROW(),COLUMN(digikey_part_data)+2)),INDIRECT(ADDRESS(ROW(),COLUMN(mouser_part_data)+2)))</f>
        <v>0.309</v>
      </c>
      <c r="I132" s="13" t="n">
        <f aca="false">IFERROR(G132*H132,"")</f>
        <v>6.18</v>
      </c>
      <c r="J132" s="1" t="n">
        <v>50077</v>
      </c>
      <c r="L132" s="13" t="n">
        <f aca="false">IFERROR(LOOKUP(IF(K132="",G132,K132),{0,1,10,50,100,250,500,1000,2500,5000,15000,30000,75000,105000},{0,0.37,0.309,0.1738,0.1544,0.1158,0.1023,0.09071,0.08106,0.07527,0.06408,0.06176,0.0579,0.05115}),"")</f>
        <v>0.309</v>
      </c>
      <c r="M132" s="13" t="n">
        <f aca="false">IFERROR(IF(K132="",G132,K132)*L132,"")</f>
        <v>6.18</v>
      </c>
      <c r="N132" s="1" t="s">
        <v>540</v>
      </c>
      <c r="O132" s="12" t="s">
        <v>25</v>
      </c>
      <c r="AA132" s="12" t="s">
        <v>25</v>
      </c>
    </row>
    <row r="133" s="1" customFormat="true" ht="14.9" hidden="false" customHeight="false" outlineLevel="0" collapsed="false">
      <c r="A133" s="1" t="s">
        <v>541</v>
      </c>
      <c r="B133" s="1" t="s">
        <v>542</v>
      </c>
      <c r="D133" s="1" t="s">
        <v>543</v>
      </c>
      <c r="F133" s="1" t="s">
        <v>544</v>
      </c>
      <c r="G133" s="1" t="n">
        <f aca="false">BoardQty*1</f>
        <v>5</v>
      </c>
      <c r="H133" s="13" t="n">
        <f aca="true">MINA(INDIRECT(ADDRESS(ROW(),COLUMN(newark_part_data)+2)),INDIRECT(ADDRESS(ROW(),COLUMN(digikey_part_data)+2)),INDIRECT(ADDRESS(ROW(),COLUMN(mouser_part_data)+2)))</f>
        <v>0.609</v>
      </c>
      <c r="I133" s="13" t="n">
        <f aca="false">IFERROR(G133*H133,"")</f>
        <v>3.045</v>
      </c>
      <c r="J133" s="1" t="n">
        <v>2427</v>
      </c>
      <c r="L133" s="13" t="n">
        <f aca="false">IFERROR(LOOKUP(IF(K133="",G133,K133),{0,1,10,25,50,100,250,500,1000,2000,4000,6000,10000},{0,0.63,0.594,0.5472,0.5004,0.4158,0.378,0.3204,0.2826,0.252,0.2475,0.243,0.234}),"")</f>
        <v>0.63</v>
      </c>
      <c r="M133" s="13" t="n">
        <f aca="false">IFERROR(IF(K133="",G133,K133)*L133,"")</f>
        <v>3.15</v>
      </c>
      <c r="N133" s="1" t="s">
        <v>545</v>
      </c>
      <c r="O133" s="12" t="s">
        <v>25</v>
      </c>
      <c r="V133" s="1" t="n">
        <v>46</v>
      </c>
      <c r="X133" s="13" t="n">
        <f aca="false">IFERROR(LOOKUP(IF(W133="",G133,W133),{0,1,10,100,250,500,1000},{0,0.609,0.501,0.432,0.411,0.375,0.301}),"")</f>
        <v>0.609</v>
      </c>
      <c r="Y133" s="13" t="n">
        <f aca="false">IFERROR(IF(W133="",G133,W133)*X133,"")</f>
        <v>3.045</v>
      </c>
      <c r="Z133" s="1" t="s">
        <v>546</v>
      </c>
      <c r="AA133" s="12" t="s">
        <v>25</v>
      </c>
    </row>
    <row r="134" s="1" customFormat="true" ht="13.8" hidden="false" customHeight="false" outlineLevel="0" collapsed="false">
      <c r="A134" s="1" t="s">
        <v>547</v>
      </c>
      <c r="B134" s="1" t="s">
        <v>548</v>
      </c>
      <c r="D134" s="1" t="s">
        <v>525</v>
      </c>
      <c r="G134" s="1" t="n">
        <f aca="false">BoardQty*5</f>
        <v>25</v>
      </c>
      <c r="H134" s="13" t="n">
        <f aca="true">MINA(INDIRECT(ADDRESS(ROW(),COLUMN(newark_part_data)+2)),INDIRECT(ADDRESS(ROW(),COLUMN(digikey_part_data)+2)),INDIRECT(ADDRESS(ROW(),COLUMN(mouser_part_data)+2)))</f>
        <v>0</v>
      </c>
      <c r="I134" s="13" t="n">
        <f aca="false">IFERROR(G134*H134,"")</f>
        <v>0</v>
      </c>
    </row>
    <row r="135" s="1" customFormat="true" ht="14.9" hidden="false" customHeight="false" outlineLevel="0" collapsed="false">
      <c r="A135" s="1" t="s">
        <v>549</v>
      </c>
      <c r="B135" s="1" t="s">
        <v>550</v>
      </c>
      <c r="D135" s="1" t="s">
        <v>22</v>
      </c>
      <c r="F135" s="1" t="s">
        <v>551</v>
      </c>
      <c r="G135" s="1" t="n">
        <f aca="false">BoardQty*2</f>
        <v>10</v>
      </c>
      <c r="H135" s="13" t="n">
        <f aca="true">MINA(INDIRECT(ADDRESS(ROW(),COLUMN(newark_part_data)+2)),INDIRECT(ADDRESS(ROW(),COLUMN(digikey_part_data)+2)),INDIRECT(ADDRESS(ROW(),COLUMN(mouser_part_data)+2)))</f>
        <v>0.003</v>
      </c>
      <c r="I135" s="13" t="n">
        <f aca="false">IFERROR(G135*H135,"")</f>
        <v>0.03</v>
      </c>
      <c r="J135" s="1" t="n">
        <v>86996</v>
      </c>
      <c r="L135" s="13" t="n">
        <f aca="false">IFERROR(LOOKUP(IF(K135="",G135,K135),{0,1,10,25,100,250,500,1000,2500,5000,10000,25000,50000,125000},{0,0.1,0.014,0.01,0.0057,0.00436,0.00348,0.00257,0.00223,0.00167,0.00145,0.00128,0.00117,0.00115}),"")</f>
        <v>0.014</v>
      </c>
      <c r="M135" s="13" t="n">
        <f aca="false">IFERROR(IF(K135="",G135,K135)*L135,"")</f>
        <v>0.14</v>
      </c>
      <c r="N135" s="1" t="s">
        <v>552</v>
      </c>
      <c r="O135" s="12" t="s">
        <v>25</v>
      </c>
      <c r="V135" s="1" t="n">
        <v>10000</v>
      </c>
      <c r="X135" s="13" t="n">
        <f aca="false">IFERROR(LOOKUP(IF(W135="",G135,W135),{0,1,15000},{0,0.003,0.003}),"")</f>
        <v>0.003</v>
      </c>
      <c r="Y135" s="13" t="n">
        <f aca="false">IFERROR(IF(W135="",G135,W135)*X135,"")</f>
        <v>0.03</v>
      </c>
      <c r="Z135" s="1" t="s">
        <v>553</v>
      </c>
      <c r="AA135" s="12" t="s">
        <v>25</v>
      </c>
    </row>
    <row r="136" s="1" customFormat="true" ht="14.9" hidden="false" customHeight="false" outlineLevel="0" collapsed="false">
      <c r="A136" s="1" t="s">
        <v>554</v>
      </c>
      <c r="B136" s="1" t="s">
        <v>555</v>
      </c>
      <c r="D136" s="1" t="s">
        <v>22</v>
      </c>
      <c r="F136" s="1" t="s">
        <v>556</v>
      </c>
      <c r="G136" s="1" t="n">
        <f aca="false">BoardQty*2</f>
        <v>10</v>
      </c>
      <c r="H136" s="13" t="n">
        <f aca="true">MINA(INDIRECT(ADDRESS(ROW(),COLUMN(newark_part_data)+2)),INDIRECT(ADDRESS(ROW(),COLUMN(digikey_part_data)+2)),INDIRECT(ADDRESS(ROW(),COLUMN(mouser_part_data)+2)))</f>
        <v>0.01</v>
      </c>
      <c r="I136" s="13" t="n">
        <f aca="false">IFERROR(G136*H136,"")</f>
        <v>0.1</v>
      </c>
      <c r="J136" s="1" t="n">
        <v>795409</v>
      </c>
      <c r="L136" s="13" t="n">
        <f aca="false">IFERROR(LOOKUP(IF(K136="",G136,K136),{0,1,10,25,100,250,500,1000,2500,5000,10000,25000,50000,125000},{0,0.1,0.011,0.008,0.0044,0.00336,0.0027,0.00198,0.00172,0.00129,0.00112,0.00099,0.0009,0.00089}),"")</f>
        <v>0.011</v>
      </c>
      <c r="M136" s="13" t="n">
        <f aca="false">IFERROR(IF(K136="",G136,K136)*L136,"")</f>
        <v>0.11</v>
      </c>
      <c r="N136" s="1" t="s">
        <v>557</v>
      </c>
      <c r="O136" s="12" t="s">
        <v>25</v>
      </c>
      <c r="V136" s="1" t="n">
        <v>4307</v>
      </c>
      <c r="X136" s="13" t="n">
        <f aca="false">IFERROR(LOOKUP(IF(W136="",G136,W136),{0,1,10,25,100,250,1000},{0,0.06,0.01,0.007,0.004,0.003,0.002}),"")</f>
        <v>0.01</v>
      </c>
      <c r="Y136" s="13" t="n">
        <f aca="false">IFERROR(IF(W136="",G136,W136)*X136,"")</f>
        <v>0.1</v>
      </c>
      <c r="Z136" s="1" t="s">
        <v>558</v>
      </c>
      <c r="AA136" s="12" t="s">
        <v>25</v>
      </c>
    </row>
    <row r="137" s="1" customFormat="true" ht="14.9" hidden="false" customHeight="false" outlineLevel="0" collapsed="false">
      <c r="A137" s="1" t="s">
        <v>559</v>
      </c>
      <c r="B137" s="1" t="s">
        <v>555</v>
      </c>
      <c r="D137" s="1" t="s">
        <v>22</v>
      </c>
      <c r="F137" s="1" t="s">
        <v>560</v>
      </c>
      <c r="G137" s="1" t="n">
        <f aca="false">BoardQty*1</f>
        <v>5</v>
      </c>
      <c r="H137" s="13" t="n">
        <f aca="true">MINA(INDIRECT(ADDRESS(ROW(),COLUMN(newark_part_data)+2)),INDIRECT(ADDRESS(ROW(),COLUMN(digikey_part_data)+2)),INDIRECT(ADDRESS(ROW(),COLUMN(mouser_part_data)+2)))</f>
        <v>0.06</v>
      </c>
      <c r="I137" s="13" t="n">
        <f aca="false">IFERROR(G137*H137,"")</f>
        <v>0.3</v>
      </c>
      <c r="J137" s="1" t="n">
        <v>795409</v>
      </c>
      <c r="L137" s="13" t="n">
        <f aca="false">IFERROR(LOOKUP(IF(K137="",G137,K137),{0,1,10,25,100,250,500,1000,2500,5000,10000,25000,50000,125000},{0,0.1,0.011,0.008,0.0044,0.00336,0.0027,0.00198,0.00172,0.00129,0.00112,0.00099,0.0009,0.00089}),"")</f>
        <v>0.1</v>
      </c>
      <c r="M137" s="13" t="n">
        <f aca="false">IFERROR(IF(K137="",G137,K137)*L137,"")</f>
        <v>0.5</v>
      </c>
      <c r="N137" s="1" t="s">
        <v>557</v>
      </c>
      <c r="O137" s="12" t="s">
        <v>25</v>
      </c>
      <c r="V137" s="1" t="n">
        <v>4307</v>
      </c>
      <c r="X137" s="13" t="n">
        <f aca="false">IFERROR(LOOKUP(IF(W137="",G137,W137),{0,1,10,25,100,250,1000},{0,0.06,0.01,0.007,0.004,0.003,0.002}),"")</f>
        <v>0.06</v>
      </c>
      <c r="Y137" s="13" t="n">
        <f aca="false">IFERROR(IF(W137="",G137,W137)*X137,"")</f>
        <v>0.3</v>
      </c>
      <c r="Z137" s="1" t="s">
        <v>558</v>
      </c>
      <c r="AA137" s="12" t="s">
        <v>25</v>
      </c>
    </row>
    <row r="138" s="1" customFormat="true" ht="14.9" hidden="false" customHeight="false" outlineLevel="0" collapsed="false">
      <c r="A138" s="1" t="s">
        <v>561</v>
      </c>
      <c r="B138" s="1" t="s">
        <v>562</v>
      </c>
      <c r="D138" s="1" t="s">
        <v>563</v>
      </c>
      <c r="F138" s="1" t="s">
        <v>564</v>
      </c>
      <c r="G138" s="1" t="n">
        <f aca="false">BoardQty*2</f>
        <v>10</v>
      </c>
      <c r="H138" s="13" t="n">
        <f aca="true">MINA(INDIRECT(ADDRESS(ROW(),COLUMN(newark_part_data)+2)),INDIRECT(ADDRESS(ROW(),COLUMN(digikey_part_data)+2)),INDIRECT(ADDRESS(ROW(),COLUMN(mouser_part_data)+2)))</f>
        <v>0.073</v>
      </c>
      <c r="I138" s="13" t="n">
        <f aca="false">IFERROR(G138*H138,"")</f>
        <v>0.73</v>
      </c>
      <c r="J138" s="1" t="n">
        <v>163020</v>
      </c>
      <c r="L138" s="13" t="n">
        <f aca="false">IFERROR(LOOKUP(IF(K138="",G138,K138),{0,1,10,100,250,500,1000,4000,8000,12000,28000,100000},{0,0.1,0.073,0.0436,0.03168,0.02904,0.02508,0.0192,0.0174,0.0168,0.0156,0.01542}),"")</f>
        <v>0.073</v>
      </c>
      <c r="M138" s="13" t="n">
        <f aca="false">IFERROR(IF(K138="",G138,K138)*L138,"")</f>
        <v>0.73</v>
      </c>
      <c r="N138" s="1" t="s">
        <v>565</v>
      </c>
      <c r="O138" s="12" t="s">
        <v>25</v>
      </c>
      <c r="V138" s="1" t="n">
        <v>4497</v>
      </c>
      <c r="X138" s="13" t="n">
        <f aca="false">IFERROR(LOOKUP(IF(W138="",G138,W138),{0,1,10,100,250,500,1000},{0,0.172,0.12,0.057,0.048,0.04,0.033}),"")</f>
        <v>0.12</v>
      </c>
      <c r="Y138" s="13" t="n">
        <f aca="false">IFERROR(IF(W138="",G138,W138)*X138,"")</f>
        <v>1.2</v>
      </c>
      <c r="Z138" s="1" t="s">
        <v>566</v>
      </c>
      <c r="AA138" s="12" t="s">
        <v>25</v>
      </c>
    </row>
    <row r="139" s="1" customFormat="true" ht="14.9" hidden="false" customHeight="false" outlineLevel="0" collapsed="false">
      <c r="A139" s="1" t="s">
        <v>567</v>
      </c>
      <c r="B139" s="1" t="s">
        <v>562</v>
      </c>
      <c r="D139" s="1" t="s">
        <v>90</v>
      </c>
      <c r="F139" s="1" t="s">
        <v>564</v>
      </c>
      <c r="G139" s="1" t="n">
        <f aca="false">BoardQty*2</f>
        <v>10</v>
      </c>
      <c r="H139" s="13" t="n">
        <f aca="true">MINA(INDIRECT(ADDRESS(ROW(),COLUMN(newark_part_data)+2)),INDIRECT(ADDRESS(ROW(),COLUMN(digikey_part_data)+2)),INDIRECT(ADDRESS(ROW(),COLUMN(mouser_part_data)+2)))</f>
        <v>0.073</v>
      </c>
      <c r="I139" s="13" t="n">
        <f aca="false">IFERROR(G139*H139,"")</f>
        <v>0.73</v>
      </c>
      <c r="J139" s="1" t="n">
        <v>163020</v>
      </c>
      <c r="L139" s="13" t="n">
        <f aca="false">IFERROR(LOOKUP(IF(K139="",G139,K139),{0,1,10,100,250,500,1000,4000,8000,12000,28000,100000},{0,0.1,0.073,0.0436,0.03168,0.02904,0.02508,0.0192,0.0174,0.0168,0.0156,0.01542}),"")</f>
        <v>0.073</v>
      </c>
      <c r="M139" s="13" t="n">
        <f aca="false">IFERROR(IF(K139="",G139,K139)*L139,"")</f>
        <v>0.73</v>
      </c>
      <c r="N139" s="1" t="s">
        <v>565</v>
      </c>
      <c r="O139" s="12" t="s">
        <v>25</v>
      </c>
      <c r="V139" s="1" t="n">
        <v>4497</v>
      </c>
      <c r="X139" s="13" t="n">
        <f aca="false">IFERROR(LOOKUP(IF(W139="",G139,W139),{0,1,10,100,250,500,1000},{0,0.172,0.12,0.057,0.048,0.04,0.033}),"")</f>
        <v>0.12</v>
      </c>
      <c r="Y139" s="13" t="n">
        <f aca="false">IFERROR(IF(W139="",G139,W139)*X139,"")</f>
        <v>1.2</v>
      </c>
      <c r="Z139" s="1" t="s">
        <v>566</v>
      </c>
      <c r="AA139" s="12" t="s">
        <v>25</v>
      </c>
    </row>
    <row r="140" s="1" customFormat="true" ht="14.9" hidden="false" customHeight="false" outlineLevel="0" collapsed="false">
      <c r="A140" s="1" t="s">
        <v>568</v>
      </c>
      <c r="B140" s="1" t="s">
        <v>562</v>
      </c>
      <c r="D140" s="1" t="s">
        <v>90</v>
      </c>
      <c r="F140" s="1" t="s">
        <v>569</v>
      </c>
      <c r="G140" s="1" t="n">
        <f aca="false">BoardQty*6</f>
        <v>30</v>
      </c>
      <c r="H140" s="13" t="n">
        <f aca="true">MINA(INDIRECT(ADDRESS(ROW(),COLUMN(newark_part_data)+2)),INDIRECT(ADDRESS(ROW(),COLUMN(digikey_part_data)+2)),INDIRECT(ADDRESS(ROW(),COLUMN(mouser_part_data)+2)))</f>
        <v>0.073</v>
      </c>
      <c r="I140" s="13" t="n">
        <f aca="false">IFERROR(G140*H140,"")</f>
        <v>2.19</v>
      </c>
      <c r="J140" s="1" t="n">
        <v>163020</v>
      </c>
      <c r="L140" s="13" t="n">
        <f aca="false">IFERROR(LOOKUP(IF(K140="",G140,K140),{0,1,10,100,250,500,1000,4000,8000,12000,28000,100000},{0,0.1,0.073,0.0436,0.03168,0.02904,0.02508,0.0192,0.0174,0.0168,0.0156,0.01542}),"")</f>
        <v>0.073</v>
      </c>
      <c r="M140" s="13" t="n">
        <f aca="false">IFERROR(IF(K140="",G140,K140)*L140,"")</f>
        <v>2.19</v>
      </c>
      <c r="N140" s="1" t="s">
        <v>565</v>
      </c>
      <c r="O140" s="12" t="s">
        <v>25</v>
      </c>
      <c r="V140" s="1" t="n">
        <v>4497</v>
      </c>
      <c r="X140" s="13" t="n">
        <f aca="false">IFERROR(LOOKUP(IF(W140="",G140,W140),{0,1,10,100,250,500,1000},{0,0.172,0.12,0.057,0.048,0.04,0.033}),"")</f>
        <v>0.12</v>
      </c>
      <c r="Y140" s="13" t="n">
        <f aca="false">IFERROR(IF(W140="",G140,W140)*X140,"")</f>
        <v>3.6</v>
      </c>
      <c r="Z140" s="1" t="s">
        <v>566</v>
      </c>
      <c r="AA140" s="12" t="s">
        <v>25</v>
      </c>
    </row>
    <row r="141" s="1" customFormat="true" ht="14.9" hidden="false" customHeight="false" outlineLevel="0" collapsed="false">
      <c r="A141" s="1" t="s">
        <v>570</v>
      </c>
      <c r="B141" s="1" t="s">
        <v>571</v>
      </c>
      <c r="D141" s="1" t="s">
        <v>22</v>
      </c>
      <c r="F141" s="1" t="s">
        <v>172</v>
      </c>
      <c r="G141" s="1" t="n">
        <f aca="false">BoardQty*9</f>
        <v>45</v>
      </c>
      <c r="H141" s="13" t="n">
        <f aca="true">MINA(INDIRECT(ADDRESS(ROW(),COLUMN(newark_part_data)+2)),INDIRECT(ADDRESS(ROW(),COLUMN(digikey_part_data)+2)),INDIRECT(ADDRESS(ROW(),COLUMN(mouser_part_data)+2)))</f>
        <v>0.008</v>
      </c>
      <c r="I141" s="13" t="n">
        <f aca="false">IFERROR(G141*H141,"")</f>
        <v>0.36</v>
      </c>
      <c r="J141" s="1" t="n">
        <v>2187151</v>
      </c>
      <c r="L141" s="13" t="n">
        <f aca="false">IFERROR(LOOKUP(IF(K141="",G141,K141),{0,1,10,25,100,250,500,1000,2500,5000,10000,25000,50000,125000},{0,0.1,0.011,0.008,0.0044,0.00336,0.0027,0.00198,0.00172,0.00129,0.00112,0.00099,0.0009,0.00089}),"")</f>
        <v>0.008</v>
      </c>
      <c r="M141" s="13" t="n">
        <f aca="false">IFERROR(IF(K141="",G141,K141)*L141,"")</f>
        <v>0.36</v>
      </c>
      <c r="N141" s="1" t="s">
        <v>173</v>
      </c>
      <c r="O141" s="12" t="s">
        <v>25</v>
      </c>
      <c r="AA141" s="12" t="s">
        <v>25</v>
      </c>
    </row>
    <row r="142" s="1" customFormat="true" ht="14.9" hidden="false" customHeight="false" outlineLevel="0" collapsed="false">
      <c r="A142" s="1" t="s">
        <v>572</v>
      </c>
      <c r="B142" s="1" t="s">
        <v>571</v>
      </c>
      <c r="D142" s="1" t="s">
        <v>22</v>
      </c>
      <c r="F142" s="1" t="s">
        <v>573</v>
      </c>
      <c r="G142" s="1" t="n">
        <f aca="false">BoardQty*8</f>
        <v>40</v>
      </c>
      <c r="H142" s="13" t="n">
        <f aca="true">MINA(INDIRECT(ADDRESS(ROW(),COLUMN(newark_part_data)+2)),INDIRECT(ADDRESS(ROW(),COLUMN(digikey_part_data)+2)),INDIRECT(ADDRESS(ROW(),COLUMN(mouser_part_data)+2)))</f>
        <v>0.008</v>
      </c>
      <c r="I142" s="13" t="n">
        <f aca="false">IFERROR(G142*H142,"")</f>
        <v>0.32</v>
      </c>
      <c r="J142" s="1" t="n">
        <v>2187151</v>
      </c>
      <c r="L142" s="13" t="n">
        <f aca="false">IFERROR(LOOKUP(IF(K142="",G142,K142),{0,1,10,25,100,250,500,1000,2500,5000,10000,25000,50000,125000},{0,0.1,0.011,0.008,0.0044,0.00336,0.0027,0.00198,0.00172,0.00129,0.00112,0.00099,0.0009,0.00089}),"")</f>
        <v>0.008</v>
      </c>
      <c r="M142" s="13" t="n">
        <f aca="false">IFERROR(IF(K142="",G142,K142)*L142,"")</f>
        <v>0.32</v>
      </c>
      <c r="N142" s="1" t="s">
        <v>173</v>
      </c>
      <c r="O142" s="12" t="s">
        <v>25</v>
      </c>
      <c r="AA142" s="12" t="s">
        <v>25</v>
      </c>
    </row>
    <row r="143" s="1" customFormat="true" ht="14.9" hidden="false" customHeight="false" outlineLevel="0" collapsed="false">
      <c r="A143" s="1" t="s">
        <v>574</v>
      </c>
      <c r="B143" s="1" t="s">
        <v>575</v>
      </c>
      <c r="D143" s="1" t="s">
        <v>576</v>
      </c>
      <c r="F143" s="1" t="s">
        <v>577</v>
      </c>
      <c r="G143" s="1" t="n">
        <f aca="false">BoardQty*1</f>
        <v>5</v>
      </c>
      <c r="H143" s="13" t="n">
        <f aca="true">MINA(INDIRECT(ADDRESS(ROW(),COLUMN(newark_part_data)+2)),INDIRECT(ADDRESS(ROW(),COLUMN(digikey_part_data)+2)),INDIRECT(ADDRESS(ROW(),COLUMN(mouser_part_data)+2)))</f>
        <v>13.07</v>
      </c>
      <c r="I143" s="13" t="n">
        <f aca="false">IFERROR(G143*H143,"")</f>
        <v>65.35</v>
      </c>
      <c r="J143" s="1" t="n">
        <v>62</v>
      </c>
      <c r="L143" s="13" t="n">
        <f aca="false">IFERROR(LOOKUP(IF(K143="",G143,K143),{0,1,25,100,700},{0,13.07,11.98,10.85,10.85999}),"")</f>
        <v>13.07</v>
      </c>
      <c r="M143" s="13" t="n">
        <f aca="false">IFERROR(IF(K143="",G143,K143)*L143,"")</f>
        <v>65.35</v>
      </c>
      <c r="N143" s="1" t="s">
        <v>578</v>
      </c>
      <c r="O143" s="12" t="s">
        <v>25</v>
      </c>
      <c r="AA143" s="12" t="s">
        <v>25</v>
      </c>
    </row>
    <row r="144" s="1" customFormat="true" ht="14.9" hidden="false" customHeight="false" outlineLevel="0" collapsed="false">
      <c r="A144" s="1" t="s">
        <v>579</v>
      </c>
      <c r="B144" s="1" t="s">
        <v>580</v>
      </c>
      <c r="F144" s="1" t="s">
        <v>581</v>
      </c>
      <c r="G144" s="1" t="n">
        <f aca="false">BoardQty*1</f>
        <v>5</v>
      </c>
      <c r="H144" s="13" t="n">
        <f aca="true">MINA(INDIRECT(ADDRESS(ROW(),COLUMN(newark_part_data)+2)),INDIRECT(ADDRESS(ROW(),COLUMN(digikey_part_data)+2)),INDIRECT(ADDRESS(ROW(),COLUMN(mouser_part_data)+2)))</f>
        <v>0.25</v>
      </c>
      <c r="I144" s="13" t="n">
        <f aca="false">IFERROR(G144*H144,"")</f>
        <v>1.25</v>
      </c>
      <c r="J144" s="1" t="n">
        <v>4817</v>
      </c>
      <c r="L144" s="13" t="n">
        <f aca="false">IFERROR(LOOKUP(IF(K144="",G144,K144),{0,1,10,25,50,100,250,500,1000,2000,4000,6000,10000},{0,0.25,0.235,0.2172,0.2098,0.1953,0.17388,0.1449,0.13731,0.1173,0.1104,0.1035,0.0966}),"")</f>
        <v>0.25</v>
      </c>
      <c r="M144" s="13" t="n">
        <f aca="false">IFERROR(IF(K144="",G144,K144)*L144,"")</f>
        <v>1.25</v>
      </c>
      <c r="N144" s="1" t="s">
        <v>582</v>
      </c>
      <c r="O144" s="12" t="s">
        <v>25</v>
      </c>
      <c r="V144" s="1" t="n">
        <v>2170</v>
      </c>
      <c r="X144" s="13" t="n">
        <f aca="false">IFERROR(LOOKUP(IF(W144="",G144,W144),{0,1,10,100,250,500,1000},{0,0.25,0.185,0.166,0.158,0.136,0.116}),"")</f>
        <v>0.25</v>
      </c>
      <c r="Y144" s="13" t="n">
        <f aca="false">IFERROR(IF(W144="",G144,W144)*X144,"")</f>
        <v>1.25</v>
      </c>
      <c r="Z144" s="1" t="s">
        <v>583</v>
      </c>
      <c r="AA144" s="12" t="s">
        <v>25</v>
      </c>
    </row>
    <row r="145" s="1" customFormat="true" ht="14.9" hidden="false" customHeight="false" outlineLevel="0" collapsed="false">
      <c r="A145" s="1" t="s">
        <v>584</v>
      </c>
      <c r="B145" s="1" t="s">
        <v>585</v>
      </c>
      <c r="D145" s="1" t="s">
        <v>22</v>
      </c>
      <c r="F145" s="1" t="s">
        <v>227</v>
      </c>
      <c r="G145" s="1" t="n">
        <f aca="false">BoardQty*1</f>
        <v>5</v>
      </c>
      <c r="H145" s="13" t="n">
        <f aca="true">MINA(INDIRECT(ADDRESS(ROW(),COLUMN(newark_part_data)+2)),INDIRECT(ADDRESS(ROW(),COLUMN(digikey_part_data)+2)),INDIRECT(ADDRESS(ROW(),COLUMN(mouser_part_data)+2)))</f>
        <v>0.06</v>
      </c>
      <c r="I145" s="13" t="n">
        <f aca="false">IFERROR(G145*H145,"")</f>
        <v>0.3</v>
      </c>
      <c r="J145" s="1" t="n">
        <v>2489667</v>
      </c>
      <c r="L145" s="13" t="n">
        <f aca="false">IFERROR(LOOKUP(IF(K145="",G145,K145),{0,1,10,25,100,250,500,1000,2500,5000,10000,25000,50000,125000},{0,0.1,0.011,0.008,0.0044,0.00336,0.0027,0.00198,0.00172,0.00129,0.00112,0.00099,0.0009,0.00089}),"")</f>
        <v>0.1</v>
      </c>
      <c r="M145" s="13" t="n">
        <f aca="false">IFERROR(IF(K145="",G145,K145)*L145,"")</f>
        <v>0.5</v>
      </c>
      <c r="N145" s="1" t="s">
        <v>228</v>
      </c>
      <c r="O145" s="12" t="s">
        <v>25</v>
      </c>
      <c r="V145" s="1" t="n">
        <v>7314</v>
      </c>
      <c r="X145" s="13" t="n">
        <f aca="false">IFERROR(LOOKUP(IF(W145="",G145,W145),{0,1,10,25,100,250,1000},{0,0.06,0.01,0.007,0.004,0.003,0.002}),"")</f>
        <v>0.06</v>
      </c>
      <c r="Y145" s="13" t="n">
        <f aca="false">IFERROR(IF(W145="",G145,W145)*X145,"")</f>
        <v>0.3</v>
      </c>
      <c r="Z145" s="1" t="s">
        <v>229</v>
      </c>
      <c r="AA145" s="12" t="s">
        <v>25</v>
      </c>
    </row>
    <row r="146" s="1" customFormat="true" ht="14.9" hidden="false" customHeight="false" outlineLevel="0" collapsed="false">
      <c r="A146" s="1" t="s">
        <v>586</v>
      </c>
      <c r="B146" s="1" t="s">
        <v>587</v>
      </c>
      <c r="D146" s="1" t="s">
        <v>588</v>
      </c>
      <c r="F146" s="1" t="s">
        <v>589</v>
      </c>
      <c r="G146" s="1" t="n">
        <f aca="false">BoardQty*2</f>
        <v>10</v>
      </c>
      <c r="H146" s="13" t="n">
        <f aca="true">MINA(INDIRECT(ADDRESS(ROW(),COLUMN(newark_part_data)+2)),INDIRECT(ADDRESS(ROW(),COLUMN(digikey_part_data)+2)),INDIRECT(ADDRESS(ROW(),COLUMN(mouser_part_data)+2)))</f>
        <v>0.268</v>
      </c>
      <c r="I146" s="13" t="n">
        <f aca="false">IFERROR(G146*H146,"")</f>
        <v>2.68</v>
      </c>
      <c r="J146" s="1" t="n">
        <v>13194</v>
      </c>
      <c r="L146" s="13" t="n">
        <f aca="false">IFERROR(LOOKUP(IF(K146="",G146,K146),{0,1,10,25,50,100,250,500,1000,3000,6000,15000},{0,0.29,0.273,0.252,0.2432,0.2264,0.2016,0.168,0.1592,0.128,0.12,0.112}),"")</f>
        <v>0.273</v>
      </c>
      <c r="M146" s="13" t="n">
        <f aca="false">IFERROR(IF(K146="",G146,K146)*L146,"")</f>
        <v>2.73</v>
      </c>
      <c r="N146" s="1" t="s">
        <v>590</v>
      </c>
      <c r="O146" s="12" t="s">
        <v>25</v>
      </c>
      <c r="V146" s="1" t="n">
        <v>1494</v>
      </c>
      <c r="X146" s="13" t="n">
        <f aca="false">IFERROR(LOOKUP(IF(W146="",G146,W146),{0,1,10,100,250,500,1000},{0,0.386,0.268,0.214,0.196,0.191,0.148}),"")</f>
        <v>0.268</v>
      </c>
      <c r="Y146" s="13" t="n">
        <f aca="false">IFERROR(IF(W146="",G146,W146)*X146,"")</f>
        <v>2.68</v>
      </c>
      <c r="Z146" s="1" t="s">
        <v>591</v>
      </c>
      <c r="AA146" s="12" t="s">
        <v>25</v>
      </c>
    </row>
    <row r="147" s="1" customFormat="true" ht="13.8" hidden="false" customHeight="false" outlineLevel="0" collapsed="false">
      <c r="A147" s="1" t="s">
        <v>592</v>
      </c>
      <c r="B147" s="1" t="s">
        <v>593</v>
      </c>
      <c r="D147" s="1" t="s">
        <v>120</v>
      </c>
      <c r="G147" s="1" t="n">
        <f aca="false">BoardQty*2</f>
        <v>10</v>
      </c>
      <c r="H147" s="13" t="n">
        <f aca="true">MINA(INDIRECT(ADDRESS(ROW(),COLUMN(newark_part_data)+2)),INDIRECT(ADDRESS(ROW(),COLUMN(digikey_part_data)+2)),INDIRECT(ADDRESS(ROW(),COLUMN(mouser_part_data)+2)))</f>
        <v>0</v>
      </c>
      <c r="I147" s="13" t="n">
        <f aca="false">IFERROR(G147*H147,"")</f>
        <v>0</v>
      </c>
    </row>
    <row r="148" s="1" customFormat="true" ht="14.9" hidden="false" customHeight="false" outlineLevel="0" collapsed="false">
      <c r="A148" s="1" t="s">
        <v>594</v>
      </c>
      <c r="B148" s="1" t="s">
        <v>292</v>
      </c>
      <c r="D148" s="1" t="s">
        <v>110</v>
      </c>
      <c r="F148" s="1" t="s">
        <v>293</v>
      </c>
      <c r="G148" s="1" t="n">
        <f aca="false">BoardQty*35</f>
        <v>175</v>
      </c>
      <c r="H148" s="13" t="n">
        <f aca="true">MINA(INDIRECT(ADDRESS(ROW(),COLUMN(newark_part_data)+2)),INDIRECT(ADDRESS(ROW(),COLUMN(digikey_part_data)+2)),INDIRECT(ADDRESS(ROW(),COLUMN(mouser_part_data)+2)))</f>
        <v>0.0187</v>
      </c>
      <c r="I148" s="13" t="n">
        <f aca="false">IFERROR(G148*H148,"")</f>
        <v>3.2725</v>
      </c>
      <c r="J148" s="1" t="n">
        <v>2332603</v>
      </c>
      <c r="L148" s="13" t="n">
        <f aca="false">IFERROR(LOOKUP(IF(K148="",G148,K148),{0,1,10,50,100,250,500,1000,4000,8000,12000,28000,100000},{0,0.1,0.041,0.0222,0.0187,0.01532,0.0131,0.0102,0.00782,0.00714,0.0068,0.00646,0.00468}),"")</f>
        <v>0.0187</v>
      </c>
      <c r="M148" s="13" t="n">
        <f aca="false">IFERROR(IF(K148="",G148,K148)*L148,"")</f>
        <v>3.2725</v>
      </c>
      <c r="N148" s="1" t="s">
        <v>294</v>
      </c>
      <c r="O148" s="12" t="s">
        <v>25</v>
      </c>
      <c r="AA148" s="12" t="s">
        <v>25</v>
      </c>
    </row>
    <row r="149" s="1" customFormat="true" ht="14.9" hidden="false" customHeight="false" outlineLevel="0" collapsed="false">
      <c r="A149" s="1" t="s">
        <v>595</v>
      </c>
      <c r="B149" s="1" t="s">
        <v>292</v>
      </c>
      <c r="D149" s="1" t="s">
        <v>110</v>
      </c>
      <c r="F149" s="1" t="s">
        <v>596</v>
      </c>
      <c r="G149" s="1" t="n">
        <f aca="false">BoardQty*10</f>
        <v>50</v>
      </c>
      <c r="H149" s="13" t="n">
        <f aca="true">MINA(INDIRECT(ADDRESS(ROW(),COLUMN(newark_part_data)+2)),INDIRECT(ADDRESS(ROW(),COLUMN(digikey_part_data)+2)),INDIRECT(ADDRESS(ROW(),COLUMN(mouser_part_data)+2)))</f>
        <v>0.0222</v>
      </c>
      <c r="I149" s="13" t="n">
        <f aca="false">IFERROR(G149*H149,"")</f>
        <v>1.11</v>
      </c>
      <c r="J149" s="1" t="n">
        <v>2332603</v>
      </c>
      <c r="L149" s="13" t="n">
        <f aca="false">IFERROR(LOOKUP(IF(K149="",G149,K149),{0,1,10,50,100,250,500,1000,4000,8000,12000,28000,100000},{0,0.1,0.041,0.0222,0.0187,0.01532,0.0131,0.0102,0.00782,0.00714,0.0068,0.00646,0.00468}),"")</f>
        <v>0.0222</v>
      </c>
      <c r="M149" s="13" t="n">
        <f aca="false">IFERROR(IF(K149="",G149,K149)*L149,"")</f>
        <v>1.11</v>
      </c>
      <c r="N149" s="1" t="s">
        <v>294</v>
      </c>
      <c r="O149" s="12" t="s">
        <v>25</v>
      </c>
      <c r="AA149" s="12" t="s">
        <v>25</v>
      </c>
    </row>
    <row r="150" s="1" customFormat="true" ht="14.9" hidden="false" customHeight="false" outlineLevel="0" collapsed="false">
      <c r="A150" s="1" t="s">
        <v>597</v>
      </c>
      <c r="B150" s="1" t="s">
        <v>598</v>
      </c>
      <c r="D150" s="1" t="s">
        <v>22</v>
      </c>
      <c r="F150" s="1" t="s">
        <v>599</v>
      </c>
      <c r="G150" s="1" t="n">
        <f aca="false">BoardQty*8</f>
        <v>40</v>
      </c>
      <c r="H150" s="13" t="n">
        <f aca="true">MINA(INDIRECT(ADDRESS(ROW(),COLUMN(newark_part_data)+2)),INDIRECT(ADDRESS(ROW(),COLUMN(digikey_part_data)+2)),INDIRECT(ADDRESS(ROW(),COLUMN(mouser_part_data)+2)))</f>
        <v>0.007</v>
      </c>
      <c r="I150" s="13" t="n">
        <f aca="false">IFERROR(G150*H150,"")</f>
        <v>0.28</v>
      </c>
      <c r="J150" s="1" t="n">
        <v>362584</v>
      </c>
      <c r="L150" s="13" t="n">
        <f aca="false">IFERROR(LOOKUP(IF(K150="",G150,K150),{0,1,10,25,100,250,500,1000,2500,5000,10000,25000,50000,125000},{0,0.1,0.011,0.008,0.0044,0.00336,0.0027,0.00198,0.00172,0.00129,0.00112,0.00099,0.0009,0.00089}),"")</f>
        <v>0.008</v>
      </c>
      <c r="M150" s="13" t="n">
        <f aca="false">IFERROR(IF(K150="",G150,K150)*L150,"")</f>
        <v>0.32</v>
      </c>
      <c r="N150" s="1" t="s">
        <v>600</v>
      </c>
      <c r="O150" s="12" t="s">
        <v>25</v>
      </c>
      <c r="V150" s="1" t="n">
        <v>2605</v>
      </c>
      <c r="X150" s="13" t="n">
        <f aca="false">IFERROR(LOOKUP(IF(W150="",G150,W150),{0,1,10,25,100,250,1000},{0,0.06,0.01,0.007,0.004,0.003,0.002}),"")</f>
        <v>0.007</v>
      </c>
      <c r="Y150" s="13" t="n">
        <f aca="false">IFERROR(IF(W150="",G150,W150)*X150,"")</f>
        <v>0.28</v>
      </c>
      <c r="Z150" s="1" t="s">
        <v>601</v>
      </c>
      <c r="AA150" s="12" t="s">
        <v>25</v>
      </c>
    </row>
    <row r="151" s="1" customFormat="true" ht="14.9" hidden="false" customHeight="false" outlineLevel="0" collapsed="false">
      <c r="A151" s="1" t="s">
        <v>602</v>
      </c>
      <c r="B151" s="1" t="s">
        <v>180</v>
      </c>
      <c r="D151" s="1" t="s">
        <v>22</v>
      </c>
      <c r="F151" s="1" t="s">
        <v>181</v>
      </c>
      <c r="G151" s="1" t="n">
        <f aca="false">BoardQty*9</f>
        <v>45</v>
      </c>
      <c r="H151" s="13" t="n">
        <f aca="true">MINA(INDIRECT(ADDRESS(ROW(),COLUMN(newark_part_data)+2)),INDIRECT(ADDRESS(ROW(),COLUMN(digikey_part_data)+2)),INDIRECT(ADDRESS(ROW(),COLUMN(mouser_part_data)+2)))</f>
        <v>0.007</v>
      </c>
      <c r="I151" s="13" t="n">
        <f aca="false">IFERROR(G151*H151,"")</f>
        <v>0.315</v>
      </c>
      <c r="J151" s="1" t="n">
        <v>6894409</v>
      </c>
      <c r="L151" s="13" t="n">
        <f aca="false">IFERROR(LOOKUP(IF(K151="",G151,K151),{0,1,10,25,100,250,500,1000,2500,5000,10000,25000,50000,125000},{0,0.1,0.011,0.008,0.0045,0.00348,0.00278,0.00204,0.00177,0.00133,0.00116,0.00102,0.00093,0.00091}),"")</f>
        <v>0.008</v>
      </c>
      <c r="M151" s="13" t="n">
        <f aca="false">IFERROR(IF(K151="",G151,K151)*L151,"")</f>
        <v>0.36</v>
      </c>
      <c r="N151" s="1" t="s">
        <v>182</v>
      </c>
      <c r="O151" s="12" t="s">
        <v>25</v>
      </c>
      <c r="V151" s="1" t="n">
        <v>5112</v>
      </c>
      <c r="X151" s="13" t="n">
        <f aca="false">IFERROR(LOOKUP(IF(W151="",G151,W151),{0,1,10,25,100,250,1000},{0,0.06,0.01,0.007,0.004,0.003,0.002}),"")</f>
        <v>0.007</v>
      </c>
      <c r="Y151" s="13" t="n">
        <f aca="false">IFERROR(IF(W151="",G151,W151)*X151,"")</f>
        <v>0.315</v>
      </c>
      <c r="Z151" s="1" t="s">
        <v>183</v>
      </c>
      <c r="AA151" s="12" t="s">
        <v>25</v>
      </c>
    </row>
    <row r="152" s="1" customFormat="true" ht="14.9" hidden="false" customHeight="false" outlineLevel="0" collapsed="false">
      <c r="A152" s="1" t="s">
        <v>603</v>
      </c>
      <c r="B152" s="1" t="s">
        <v>180</v>
      </c>
      <c r="D152" s="1" t="s">
        <v>22</v>
      </c>
      <c r="F152" s="1" t="s">
        <v>604</v>
      </c>
      <c r="G152" s="1" t="n">
        <f aca="false">BoardQty*1</f>
        <v>5</v>
      </c>
      <c r="H152" s="13" t="n">
        <f aca="true">MINA(INDIRECT(ADDRESS(ROW(),COLUMN(newark_part_data)+2)),INDIRECT(ADDRESS(ROW(),COLUMN(digikey_part_data)+2)),INDIRECT(ADDRESS(ROW(),COLUMN(mouser_part_data)+2)))</f>
        <v>0.06</v>
      </c>
      <c r="I152" s="13" t="n">
        <f aca="false">IFERROR(G152*H152,"")</f>
        <v>0.3</v>
      </c>
      <c r="J152" s="1" t="n">
        <v>6894409</v>
      </c>
      <c r="L152" s="13" t="n">
        <f aca="false">IFERROR(LOOKUP(IF(K152="",G152,K152),{0,1,10,25,100,250,500,1000,2500,5000,10000,25000,50000,125000},{0,0.1,0.011,0.008,0.0045,0.00348,0.00278,0.00204,0.00177,0.00133,0.00116,0.00102,0.00093,0.00091}),"")</f>
        <v>0.1</v>
      </c>
      <c r="M152" s="13" t="n">
        <f aca="false">IFERROR(IF(K152="",G152,K152)*L152,"")</f>
        <v>0.5</v>
      </c>
      <c r="N152" s="1" t="s">
        <v>182</v>
      </c>
      <c r="O152" s="12" t="s">
        <v>25</v>
      </c>
      <c r="V152" s="1" t="n">
        <v>5112</v>
      </c>
      <c r="X152" s="13" t="n">
        <f aca="false">IFERROR(LOOKUP(IF(W152="",G152,W152),{0,1,10,25,100,250,1000},{0,0.06,0.01,0.007,0.004,0.003,0.002}),"")</f>
        <v>0.06</v>
      </c>
      <c r="Y152" s="13" t="n">
        <f aca="false">IFERROR(IF(W152="",G152,W152)*X152,"")</f>
        <v>0.3</v>
      </c>
      <c r="Z152" s="1" t="s">
        <v>183</v>
      </c>
      <c r="AA152" s="12" t="s">
        <v>25</v>
      </c>
    </row>
    <row r="153" s="1" customFormat="true" ht="14.9" hidden="false" customHeight="false" outlineLevel="0" collapsed="false">
      <c r="A153" s="1" t="s">
        <v>605</v>
      </c>
      <c r="B153" s="1" t="s">
        <v>606</v>
      </c>
      <c r="D153" s="1" t="s">
        <v>22</v>
      </c>
      <c r="F153" s="1" t="s">
        <v>607</v>
      </c>
      <c r="G153" s="1" t="n">
        <f aca="false">BoardQty*1</f>
        <v>5</v>
      </c>
      <c r="H153" s="13" t="n">
        <f aca="true">MINA(INDIRECT(ADDRESS(ROW(),COLUMN(newark_part_data)+2)),INDIRECT(ADDRESS(ROW(),COLUMN(digikey_part_data)+2)),INDIRECT(ADDRESS(ROW(),COLUMN(mouser_part_data)+2)))</f>
        <v>0.1</v>
      </c>
      <c r="I153" s="13" t="n">
        <f aca="false">IFERROR(G153*H153,"")</f>
        <v>0.5</v>
      </c>
      <c r="J153" s="1" t="n">
        <v>121528</v>
      </c>
      <c r="L153" s="13" t="n">
        <f aca="false">IFERROR(LOOKUP(IF(K153="",G153,K153),{0,1,10,25,100,250,500,1000,2500,5000,10000,25000,50000,125000},{0,0.1,0.014,0.01,0.0057,0.00436,0.00348,0.00257,0.00223,0.00167,0.00145,0.00128,0.00117,0.00115}),"")</f>
        <v>0.1</v>
      </c>
      <c r="M153" s="13" t="n">
        <f aca="false">IFERROR(IF(K153="",G153,K153)*L153,"")</f>
        <v>0.5</v>
      </c>
      <c r="N153" s="1" t="s">
        <v>608</v>
      </c>
      <c r="O153" s="12" t="s">
        <v>25</v>
      </c>
    </row>
    <row r="154" s="1" customFormat="true" ht="14.9" hidden="false" customHeight="false" outlineLevel="0" collapsed="false">
      <c r="A154" s="1" t="s">
        <v>609</v>
      </c>
      <c r="B154" s="1" t="s">
        <v>610</v>
      </c>
      <c r="F154" s="1" t="s">
        <v>610</v>
      </c>
      <c r="G154" s="1" t="n">
        <f aca="false">BoardQty*4</f>
        <v>20</v>
      </c>
      <c r="H154" s="13" t="n">
        <f aca="true">MINA(INDIRECT(ADDRESS(ROW(),COLUMN(newark_part_data)+2)),INDIRECT(ADDRESS(ROW(),COLUMN(digikey_part_data)+2)),INDIRECT(ADDRESS(ROW(),COLUMN(mouser_part_data)+2)))</f>
        <v>0.073</v>
      </c>
      <c r="I154" s="13" t="n">
        <f aca="false">IFERROR(G154*H154,"")</f>
        <v>1.46</v>
      </c>
      <c r="J154" s="1" t="n">
        <v>805023</v>
      </c>
      <c r="L154" s="13" t="n">
        <f aca="false">IFERROR(LOOKUP(IF(K154="",G154,K154),{0,1,10,100,500,1000,2500,5000,12500,25000,62500,125000},{0,0.1,0.077,0.042,0.02582,0.01761,0.01454,0.01311,0.0114,0.01026,0.00912,0.00758}),"")</f>
        <v>0.077</v>
      </c>
      <c r="M154" s="13" t="n">
        <f aca="false">IFERROR(IF(K154="",G154,K154)*L154,"")</f>
        <v>1.54</v>
      </c>
      <c r="N154" s="1" t="s">
        <v>611</v>
      </c>
      <c r="O154" s="12" t="s">
        <v>25</v>
      </c>
      <c r="V154" s="1" t="n">
        <v>4500</v>
      </c>
      <c r="X154" s="13" t="n">
        <f aca="false">IFERROR(LOOKUP(IF(W154="",G154,W154),{0,1,10,100,1000},{0,0.1,0.073,0.026,0.017}),"")</f>
        <v>0.073</v>
      </c>
      <c r="Y154" s="13" t="n">
        <f aca="false">IFERROR(IF(W154="",G154,W154)*X154,"")</f>
        <v>1.46</v>
      </c>
      <c r="Z154" s="1" t="s">
        <v>612</v>
      </c>
      <c r="AA154" s="12" t="s">
        <v>25</v>
      </c>
    </row>
    <row r="155" s="1" customFormat="true" ht="14.9" hidden="false" customHeight="false" outlineLevel="0" collapsed="false">
      <c r="A155" s="1" t="s">
        <v>613</v>
      </c>
      <c r="B155" s="1" t="s">
        <v>614</v>
      </c>
      <c r="F155" s="1" t="s">
        <v>615</v>
      </c>
      <c r="G155" s="1" t="n">
        <f aca="false">BoardQty*1</f>
        <v>5</v>
      </c>
      <c r="H155" s="13" t="n">
        <f aca="true">MINA(INDIRECT(ADDRESS(ROW(),COLUMN(newark_part_data)+2)),INDIRECT(ADDRESS(ROW(),COLUMN(digikey_part_data)+2)),INDIRECT(ADDRESS(ROW(),COLUMN(mouser_part_data)+2)))</f>
        <v>0.37</v>
      </c>
      <c r="I155" s="13" t="n">
        <f aca="false">IFERROR(G155*H155,"")</f>
        <v>1.85</v>
      </c>
      <c r="J155" s="1" t="n">
        <v>2893</v>
      </c>
      <c r="L155" s="13" t="n">
        <f aca="false">IFERROR(LOOKUP(IF(K155="",G155,K155),{0,1,10,25,50,100,250,500,1500,3000,7500,10500},{0,0.37,0.347,0.3192,0.292,0.2426,0.22052,0.1869,0.15225,0.14438,0.14175,0.1365}),"")</f>
        <v>0.37</v>
      </c>
      <c r="M155" s="13" t="n">
        <f aca="false">IFERROR(IF(K155="",G155,K155)*L155,"")</f>
        <v>1.85</v>
      </c>
      <c r="N155" s="1" t="s">
        <v>616</v>
      </c>
      <c r="O155" s="12" t="s">
        <v>25</v>
      </c>
      <c r="V155" s="1" t="n">
        <v>735</v>
      </c>
      <c r="X155" s="13" t="n">
        <f aca="false">IFERROR(LOOKUP(IF(W155="",G155,W155),{0,1,10,100,250,500,1000},{0,0.381,0.281,0.252,0.24,0.207,0.176}),"")</f>
        <v>0.381</v>
      </c>
      <c r="Y155" s="13" t="n">
        <f aca="false">IFERROR(IF(W155="",G155,W155)*X155,"")</f>
        <v>1.905</v>
      </c>
      <c r="Z155" s="1" t="s">
        <v>617</v>
      </c>
      <c r="AA155" s="12" t="s">
        <v>25</v>
      </c>
    </row>
    <row r="156" s="1" customFormat="true" ht="14.9" hidden="false" customHeight="false" outlineLevel="0" collapsed="false">
      <c r="A156" s="1" t="s">
        <v>618</v>
      </c>
      <c r="B156" s="1" t="s">
        <v>619</v>
      </c>
      <c r="D156" s="1" t="s">
        <v>90</v>
      </c>
      <c r="F156" s="1" t="s">
        <v>620</v>
      </c>
      <c r="G156" s="1" t="n">
        <f aca="false">BoardQty*5</f>
        <v>25</v>
      </c>
      <c r="H156" s="13" t="n">
        <f aca="true">MINA(INDIRECT(ADDRESS(ROW(),COLUMN(newark_part_data)+2)),INDIRECT(ADDRESS(ROW(),COLUMN(digikey_part_data)+2)),INDIRECT(ADDRESS(ROW(),COLUMN(mouser_part_data)+2)))</f>
        <v>0.087</v>
      </c>
      <c r="I156" s="13" t="n">
        <f aca="false">IFERROR(G156*H156,"")</f>
        <v>2.175</v>
      </c>
      <c r="J156" s="1" t="n">
        <v>2894</v>
      </c>
      <c r="L156" s="13" t="n">
        <f aca="false">IFERROR(LOOKUP(IF(K156="",G156,K156),{0,1,10,50,100,250,500,1000,4000,8000,12000,28000,100000},{0,0.1,0.087,0.0712,0.0523,0.038,0.03484,0.0301,0.02304,0.02088,0.02016,0.01872,0.0185}),"")</f>
        <v>0.087</v>
      </c>
      <c r="M156" s="13" t="n">
        <f aca="false">IFERROR(IF(K156="",G156,K156)*L156,"")</f>
        <v>2.175</v>
      </c>
      <c r="N156" s="1" t="s">
        <v>621</v>
      </c>
      <c r="O156" s="12" t="s">
        <v>25</v>
      </c>
    </row>
    <row r="157" s="1" customFormat="true" ht="13.8" hidden="false" customHeight="false" outlineLevel="0" collapsed="false">
      <c r="A157" s="1" t="s">
        <v>622</v>
      </c>
      <c r="B157" s="1" t="s">
        <v>168</v>
      </c>
      <c r="D157" s="1" t="s">
        <v>623</v>
      </c>
      <c r="G157" s="1" t="n">
        <f aca="false">BoardQty*3</f>
        <v>15</v>
      </c>
      <c r="H157" s="13" t="n">
        <f aca="true">MINA(INDIRECT(ADDRESS(ROW(),COLUMN(newark_part_data)+2)),INDIRECT(ADDRESS(ROW(),COLUMN(digikey_part_data)+2)),INDIRECT(ADDRESS(ROW(),COLUMN(mouser_part_data)+2)))</f>
        <v>0</v>
      </c>
      <c r="I157" s="13" t="n">
        <f aca="false">IFERROR(G157*H157,"")</f>
        <v>0</v>
      </c>
    </row>
    <row r="158" s="1" customFormat="true" ht="14.9" hidden="false" customHeight="false" outlineLevel="0" collapsed="false">
      <c r="A158" s="1" t="s">
        <v>624</v>
      </c>
      <c r="B158" s="1" t="s">
        <v>625</v>
      </c>
      <c r="D158" s="1" t="s">
        <v>110</v>
      </c>
      <c r="F158" s="1" t="s">
        <v>214</v>
      </c>
      <c r="G158" s="1" t="n">
        <f aca="false">BoardQty*9</f>
        <v>45</v>
      </c>
      <c r="H158" s="13" t="n">
        <f aca="true">MINA(INDIRECT(ADDRESS(ROW(),COLUMN(newark_part_data)+2)),INDIRECT(ADDRESS(ROW(),COLUMN(digikey_part_data)+2)),INDIRECT(ADDRESS(ROW(),COLUMN(mouser_part_data)+2)))</f>
        <v>0.015</v>
      </c>
      <c r="I158" s="13" t="n">
        <f aca="false">IFERROR(G158*H158,"")</f>
        <v>0.675</v>
      </c>
      <c r="J158" s="1" t="n">
        <v>2275521</v>
      </c>
      <c r="L158" s="13" t="n">
        <f aca="false">IFERROR(LOOKUP(IF(K158="",G158,K158),{0,1,10,50,100,250,500,1000,4000,8000,12000,28000,100000},{0,0.1,0.019,0.0104,0.0088,0.0072,0.00616,0.0048,0.00368,0.00336,0.0032,0.00304,0.0022}),"")</f>
        <v>0.019</v>
      </c>
      <c r="M158" s="13" t="n">
        <f aca="false">IFERROR(IF(K158="",G158,K158)*L158,"")</f>
        <v>0.855</v>
      </c>
      <c r="N158" s="1" t="s">
        <v>215</v>
      </c>
      <c r="O158" s="12" t="s">
        <v>25</v>
      </c>
      <c r="V158" s="1" t="n">
        <v>2602</v>
      </c>
      <c r="X158" s="13" t="n">
        <f aca="false">IFERROR(LOOKUP(IF(W158="",G158,W158),{0,1,10,25,50,100,250,1000},{0,0.1,0.024,0.015,0.012,0.01,0.009,0.006}),"")</f>
        <v>0.015</v>
      </c>
      <c r="Y158" s="13" t="n">
        <f aca="false">IFERROR(IF(W158="",G158,W158)*X158,"")</f>
        <v>0.675</v>
      </c>
      <c r="Z158" s="1" t="s">
        <v>216</v>
      </c>
      <c r="AA158" s="12" t="s">
        <v>25</v>
      </c>
    </row>
    <row r="159" s="1" customFormat="true" ht="14.9" hidden="false" customHeight="false" outlineLevel="0" collapsed="false">
      <c r="A159" s="1" t="s">
        <v>626</v>
      </c>
      <c r="B159" s="1" t="s">
        <v>627</v>
      </c>
      <c r="D159" s="1" t="s">
        <v>628</v>
      </c>
      <c r="F159" s="1" t="s">
        <v>629</v>
      </c>
      <c r="G159" s="1" t="n">
        <f aca="false">BoardQty*1</f>
        <v>5</v>
      </c>
      <c r="H159" s="13" t="n">
        <f aca="true">MINA(INDIRECT(ADDRESS(ROW(),COLUMN(newark_part_data)+2)),INDIRECT(ADDRESS(ROW(),COLUMN(digikey_part_data)+2)),INDIRECT(ADDRESS(ROW(),COLUMN(mouser_part_data)+2)))</f>
        <v>0</v>
      </c>
      <c r="I159" s="13" t="n">
        <f aca="false">IFERROR(G159*H159,"")</f>
        <v>0</v>
      </c>
      <c r="O159" s="12" t="s">
        <v>25</v>
      </c>
      <c r="AA159" s="12" t="s">
        <v>25</v>
      </c>
    </row>
    <row r="160" s="1" customFormat="true" ht="14.9" hidden="false" customHeight="false" outlineLevel="0" collapsed="false">
      <c r="A160" s="1" t="s">
        <v>630</v>
      </c>
      <c r="B160" s="1" t="s">
        <v>631</v>
      </c>
      <c r="D160" s="1" t="s">
        <v>59</v>
      </c>
      <c r="F160" s="1" t="s">
        <v>631</v>
      </c>
      <c r="G160" s="1" t="n">
        <f aca="false">BoardQty*1</f>
        <v>5</v>
      </c>
      <c r="H160" s="13" t="n">
        <f aca="true">MINA(INDIRECT(ADDRESS(ROW(),COLUMN(newark_part_data)+2)),INDIRECT(ADDRESS(ROW(),COLUMN(digikey_part_data)+2)),INDIRECT(ADDRESS(ROW(),COLUMN(mouser_part_data)+2)))</f>
        <v>1.2</v>
      </c>
      <c r="I160" s="13" t="n">
        <f aca="false">IFERROR(G160*H160,"")</f>
        <v>6</v>
      </c>
      <c r="J160" s="1" t="n">
        <v>57711</v>
      </c>
      <c r="L160" s="13" t="n">
        <f aca="false">IFERROR(LOOKUP(IF(K160="",G160,K160),{0,1,10,50,100,500,1000,3000,5000,10000},{0,1.2,1.065,0.9944,0.88,0.8316,0.66,0.638,0.616,0.594}),"")</f>
        <v>1.2</v>
      </c>
      <c r="M160" s="13" t="n">
        <f aca="false">IFERROR(IF(K160="",G160,K160)*L160,"")</f>
        <v>6</v>
      </c>
      <c r="N160" s="1" t="s">
        <v>632</v>
      </c>
      <c r="O160" s="12" t="s">
        <v>25</v>
      </c>
      <c r="AA160" s="12" t="s">
        <v>25</v>
      </c>
    </row>
    <row r="161" s="1" customFormat="true" ht="14.9" hidden="false" customHeight="false" outlineLevel="0" collapsed="false">
      <c r="A161" s="1" t="s">
        <v>633</v>
      </c>
      <c r="B161" s="1" t="s">
        <v>634</v>
      </c>
      <c r="D161" s="1" t="s">
        <v>635</v>
      </c>
      <c r="F161" s="1" t="s">
        <v>636</v>
      </c>
      <c r="G161" s="1" t="n">
        <f aca="false">BoardQty*10</f>
        <v>50</v>
      </c>
      <c r="H161" s="13" t="n">
        <f aca="true">MINA(INDIRECT(ADDRESS(ROW(),COLUMN(newark_part_data)+2)),INDIRECT(ADDRESS(ROW(),COLUMN(digikey_part_data)+2)),INDIRECT(ADDRESS(ROW(),COLUMN(mouser_part_data)+2)))</f>
        <v>0.408</v>
      </c>
      <c r="I161" s="13" t="n">
        <f aca="false">IFERROR(G161*H161,"")</f>
        <v>20.4</v>
      </c>
      <c r="J161" s="1" t="n">
        <v>7506</v>
      </c>
      <c r="L161" s="13" t="n">
        <f aca="false">IFERROR(LOOKUP(IF(K161="",G161,K161),{0,1,10,50,100,250,500,1000,2500,5000},{0,0.54,0.51,0.408,0.391,0.357,0.34,0.2805,0.255,0.2465}),"")</f>
        <v>0.408</v>
      </c>
      <c r="M161" s="13" t="n">
        <f aca="false">IFERROR(IF(K161="",G161,K161)*L161,"")</f>
        <v>20.4</v>
      </c>
      <c r="N161" s="1" t="s">
        <v>637</v>
      </c>
      <c r="O161" s="12" t="s">
        <v>25</v>
      </c>
      <c r="V161" s="1" t="n">
        <v>9</v>
      </c>
      <c r="X161" s="13" t="n">
        <f aca="false">IFERROR(LOOKUP(IF(W161="",G161,W161),{0,1,100,250,500,1000},{0,1.87,1.68,1.52,1.38,1.27}),"")</f>
        <v>1.87</v>
      </c>
      <c r="Y161" s="13" t="n">
        <f aca="false">IFERROR(IF(W161="",G161,W161)*X161,"")</f>
        <v>93.5</v>
      </c>
      <c r="Z161" s="1" t="s">
        <v>638</v>
      </c>
      <c r="AA161" s="12" t="s">
        <v>25</v>
      </c>
    </row>
    <row r="162" s="1" customFormat="true" ht="14.9" hidden="false" customHeight="false" outlineLevel="0" collapsed="false">
      <c r="A162" s="1" t="s">
        <v>639</v>
      </c>
      <c r="B162" s="1" t="s">
        <v>640</v>
      </c>
      <c r="D162" s="1" t="s">
        <v>22</v>
      </c>
      <c r="F162" s="1" t="s">
        <v>641</v>
      </c>
      <c r="G162" s="1" t="n">
        <f aca="false">BoardQty*1</f>
        <v>5</v>
      </c>
      <c r="H162" s="13" t="n">
        <f aca="true">MINA(INDIRECT(ADDRESS(ROW(),COLUMN(newark_part_data)+2)),INDIRECT(ADDRESS(ROW(),COLUMN(digikey_part_data)+2)),INDIRECT(ADDRESS(ROW(),COLUMN(mouser_part_data)+2)))</f>
        <v>0.1</v>
      </c>
      <c r="I162" s="13" t="n">
        <f aca="false">IFERROR(G162*H162,"")</f>
        <v>0.5</v>
      </c>
      <c r="J162" s="1" t="n">
        <v>292116</v>
      </c>
      <c r="L162" s="13" t="n">
        <f aca="false">IFERROR(LOOKUP(IF(K162="",G162,K162),{0,1,10,25,100,250,500,1000,2500,5000,10000,25000,50000,125000},{0,0.1,0.014,0.01,0.0057,0.00436,0.00348,0.00257,0.00223,0.00167,0.00145,0.00128,0.00117,0.00115}),"")</f>
        <v>0.1</v>
      </c>
      <c r="M162" s="13" t="n">
        <f aca="false">IFERROR(IF(K162="",G162,K162)*L162,"")</f>
        <v>0.5</v>
      </c>
      <c r="N162" s="1" t="s">
        <v>642</v>
      </c>
      <c r="O162" s="12" t="s">
        <v>25</v>
      </c>
    </row>
    <row r="163" s="1" customFormat="true" ht="14.9" hidden="false" customHeight="false" outlineLevel="0" collapsed="false">
      <c r="A163" s="1" t="s">
        <v>643</v>
      </c>
      <c r="B163" s="1" t="s">
        <v>199</v>
      </c>
      <c r="D163" s="1" t="s">
        <v>273</v>
      </c>
      <c r="F163" s="1" t="s">
        <v>201</v>
      </c>
      <c r="G163" s="1" t="n">
        <f aca="false">BoardQty*4</f>
        <v>20</v>
      </c>
      <c r="H163" s="13" t="n">
        <f aca="true">MINA(INDIRECT(ADDRESS(ROW(),COLUMN(newark_part_data)+2)),INDIRECT(ADDRESS(ROW(),COLUMN(digikey_part_data)+2)),INDIRECT(ADDRESS(ROW(),COLUMN(mouser_part_data)+2)))</f>
        <v>0.297</v>
      </c>
      <c r="I163" s="13" t="n">
        <f aca="false">IFERROR(G163*H163,"")</f>
        <v>5.94</v>
      </c>
      <c r="J163" s="1" t="n">
        <v>10550</v>
      </c>
      <c r="L163" s="13" t="n">
        <f aca="false">IFERROR(LOOKUP(IF(K163="",G163,K163),{0,1,10,25,100,250,500,1000,2000,6000,10000,50000,100000},{0,0.41,0.297,0.2276,0.1485,0.10892,0.0924,0.0759,0.06,0.054,0.048,0.0405,0.039}),"")</f>
        <v>0.297</v>
      </c>
      <c r="M163" s="13" t="n">
        <f aca="false">IFERROR(IF(K163="",G163,K163)*L163,"")</f>
        <v>5.94</v>
      </c>
      <c r="N163" s="1" t="s">
        <v>202</v>
      </c>
      <c r="O163" s="12" t="s">
        <v>25</v>
      </c>
    </row>
    <row r="164" s="1" customFormat="true" ht="14.9" hidden="false" customHeight="false" outlineLevel="0" collapsed="false">
      <c r="A164" s="1" t="s">
        <v>644</v>
      </c>
      <c r="B164" s="1" t="s">
        <v>199</v>
      </c>
      <c r="D164" s="1" t="s">
        <v>273</v>
      </c>
      <c r="F164" s="1" t="s">
        <v>421</v>
      </c>
      <c r="G164" s="1" t="n">
        <f aca="false">BoardQty*12</f>
        <v>60</v>
      </c>
      <c r="H164" s="13" t="n">
        <f aca="true">MINA(INDIRECT(ADDRESS(ROW(),COLUMN(newark_part_data)+2)),INDIRECT(ADDRESS(ROW(),COLUMN(digikey_part_data)+2)),INDIRECT(ADDRESS(ROW(),COLUMN(mouser_part_data)+2)))</f>
        <v>0.2276</v>
      </c>
      <c r="I164" s="13" t="n">
        <f aca="false">IFERROR(G164*H164,"")</f>
        <v>13.656</v>
      </c>
      <c r="J164" s="1" t="n">
        <v>10550</v>
      </c>
      <c r="L164" s="13" t="n">
        <f aca="false">IFERROR(LOOKUP(IF(K164="",G164,K164),{0,1,10,25,100,250,500,1000,2000,6000,10000,50000,100000},{0,0.41,0.297,0.2276,0.1485,0.10892,0.0924,0.0759,0.06,0.054,0.048,0.0405,0.039}),"")</f>
        <v>0.2276</v>
      </c>
      <c r="M164" s="13" t="n">
        <f aca="false">IFERROR(IF(K164="",G164,K164)*L164,"")</f>
        <v>13.656</v>
      </c>
      <c r="N164" s="1" t="s">
        <v>202</v>
      </c>
      <c r="O164" s="12" t="s">
        <v>25</v>
      </c>
    </row>
    <row r="165" s="1" customFormat="true" ht="14.9" hidden="false" customHeight="false" outlineLevel="0" collapsed="false">
      <c r="A165" s="1" t="s">
        <v>645</v>
      </c>
      <c r="B165" s="1" t="s">
        <v>646</v>
      </c>
      <c r="D165" s="1" t="s">
        <v>647</v>
      </c>
      <c r="F165" s="1" t="s">
        <v>648</v>
      </c>
      <c r="G165" s="1" t="n">
        <f aca="false">BoardQty*4</f>
        <v>20</v>
      </c>
      <c r="H165" s="13" t="n">
        <f aca="true">MINA(INDIRECT(ADDRESS(ROW(),COLUMN(newark_part_data)+2)),INDIRECT(ADDRESS(ROW(),COLUMN(digikey_part_data)+2)),INDIRECT(ADDRESS(ROW(),COLUMN(mouser_part_data)+2)))</f>
        <v>0.388</v>
      </c>
      <c r="I165" s="13" t="n">
        <f aca="false">IFERROR(G165*H165,"")</f>
        <v>7.76</v>
      </c>
      <c r="J165" s="1" t="n">
        <v>3390</v>
      </c>
      <c r="L165" s="13" t="n">
        <f aca="false">IFERROR(LOOKUP(IF(K165="",G165,K165),{0,1,10,100,500,1000,2500,5000,12500,25000,62500,125000},{0,0.48,0.388,0.2647,0.1981,0.14837,0.13233,0.12431,0.11629,0.10667,0.10266,0.09865}),"")</f>
        <v>0.388</v>
      </c>
      <c r="M165" s="13" t="n">
        <f aca="false">IFERROR(IF(K165="",G165,K165)*L165,"")</f>
        <v>7.76</v>
      </c>
      <c r="N165" s="1" t="s">
        <v>649</v>
      </c>
      <c r="O165" s="12" t="s">
        <v>25</v>
      </c>
      <c r="AA165" s="12" t="s">
        <v>25</v>
      </c>
    </row>
    <row r="167" customFormat="false" ht="13.8" hidden="false" customHeight="false" outlineLevel="0" collapsed="false">
      <c r="K167" s="0" t="str">
        <f aca="false">IFERROR(CONCATENATE(TEXT(INDEX($K$7:$K$165,SMALL(IF($N$7:$N$165&lt;&gt;"",IF($K$7:$K$165&lt;&gt;"",ROW($K$7:$K$165)-MIN(ROW($K$7:$K$165))+1,""),""),ROW()-ROW(A$167)+1)),"##0"),","),"")</f>
        <v/>
      </c>
      <c r="L167" s="0" t="str">
        <f aca="false">IFERROR(CONCATENATE((INDEX($N$7:$N$165,SMALL(IF($N$7:$N$165&lt;&gt;"",IF($K$7:$K$165&lt;&gt;"",ROW($K$7:$K$165)-MIN(ROW($K$7:$K$165))+1,""),""),ROW()-ROW(A$167)+1))),","),"")</f>
        <v/>
      </c>
      <c r="M167" s="0" t="str">
        <f aca="false">IFERROR(CONCATENATE((INDEX($A$7:$A$165,SMALL(IF($N$7:$N$165&lt;&gt;"",IF($K$7:$K$165&lt;&gt;"",ROW($K$7:$K$165)-MIN(ROW($K$7:$K$165))+1,""),""),ROW()-ROW(A$167)+1))),),"")</f>
        <v/>
      </c>
      <c r="Q167" s="0" t="str">
        <f aca="false">IFERROR(CONCATENATE((INDEX($T$7:$T$165,SMALL(IF($T$7:$T$165&lt;&gt;"",IF($Q$7:$Q$165&lt;&gt;"",ROW($Q$7:$Q$165)-MIN(ROW($Q$7:$Q$165))+1,""),""),ROW()-ROW(A$167)+1)))," "),"")</f>
        <v/>
      </c>
      <c r="R167" s="0" t="str">
        <f aca="false">IFERROR(CONCATENATE(TEXT(INDEX($Q$7:$Q$165,SMALL(IF($T$7:$T$165&lt;&gt;"",IF($Q$7:$Q$165&lt;&gt;"",ROW($Q$7:$Q$165)-MIN(ROW($Q$7:$Q$165))+1,""),""),ROW()-ROW(A$167)+1)),"##0")," "),"")</f>
        <v/>
      </c>
      <c r="S167" s="0" t="str">
        <f aca="false">IFERROR(CONCATENATE((INDEX($A$7:$A$165,SMALL(IF($T$7:$T$165&lt;&gt;"",IF($Q$7:$Q$165&lt;&gt;"",ROW($Q$7:$Q$165)-MIN(ROW($Q$7:$Q$165))+1,""),""),ROW()-ROW(A$167)+1))),),"")</f>
        <v/>
      </c>
      <c r="W167" s="0" t="str">
        <f aca="false">IFERROR(CONCATENATE((INDEX($Z$7:$Z$165,SMALL(IF($Z$7:$Z$165&lt;&gt;"",IF($W$7:$W$165&lt;&gt;"",ROW($W$7:$W$165)-MIN(ROW($W$7:$W$165))+1,""),""),ROW()-ROW(A$167)+1))),","),"")</f>
        <v/>
      </c>
      <c r="X167" s="0" t="str">
        <f aca="false">IFERROR(CONCATENATE(TEXT(INDEX($W$7:$W$165,SMALL(IF($Z$7:$Z$165&lt;&gt;"",IF($W$7:$W$165&lt;&gt;"",ROW($W$7:$W$165)-MIN(ROW($W$7:$W$165))+1,""),""),ROW()-ROW(A$167)+1)),"##0"),","),"")</f>
        <v/>
      </c>
      <c r="Y167" s="0" t="str">
        <f aca="false">IFERROR(CONCATENATE((INDEX($A$7:$A$165,SMALL(IF($Z$7:$Z$165&lt;&gt;"",IF($W$7:$W$165&lt;&gt;"",ROW($W$7:$W$165)-MIN(ROW($W$7:$W$165))+1,""),""),ROW()-ROW(A$167)+1))),),"")</f>
        <v/>
      </c>
    </row>
    <row r="168" customFormat="false" ht="13.8" hidden="false" customHeight="false" outlineLevel="0" collapsed="false">
      <c r="K168" s="0" t="str">
        <f aca="false">IFERROR(CONCATENATE(TEXT(INDEX($K$7:$K$165,SMALL(IF($N$7:$N$165&lt;&gt;"",IF($K$7:$K$165&lt;&gt;"",ROW($K$7:$K$165)-MIN(ROW($K$7:$K$165))+1,""),""),ROW()-ROW(A$167)+1)),"##0"),","),"")</f>
        <v/>
      </c>
      <c r="L168" s="0" t="str">
        <f aca="false">IFERROR(CONCATENATE((INDEX($N$7:$N$165,SMALL(IF($N$7:$N$165&lt;&gt;"",IF($K$7:$K$165&lt;&gt;"",ROW($K$7:$K$165)-MIN(ROW($K$7:$K$165))+1,""),""),ROW()-ROW(A$167)+1))),","),"")</f>
        <v/>
      </c>
      <c r="M168" s="0" t="str">
        <f aca="false">IFERROR(CONCATENATE((INDEX($A$7:$A$165,SMALL(IF($N$7:$N$165&lt;&gt;"",IF($K$7:$K$165&lt;&gt;"",ROW($K$7:$K$165)-MIN(ROW($K$7:$K$165))+1,""),""),ROW()-ROW(A$167)+1))),),"")</f>
        <v/>
      </c>
      <c r="Q168" s="0" t="str">
        <f aca="false">IFERROR(CONCATENATE((INDEX($T$7:$T$165,SMALL(IF($T$7:$T$165&lt;&gt;"",IF($Q$7:$Q$165&lt;&gt;"",ROW($Q$7:$Q$165)-MIN(ROW($Q$7:$Q$165))+1,""),""),ROW()-ROW(A$167)+1)))," "),"")</f>
        <v/>
      </c>
      <c r="R168" s="0" t="str">
        <f aca="false">IFERROR(CONCATENATE(TEXT(INDEX($Q$7:$Q$165,SMALL(IF($T$7:$T$165&lt;&gt;"",IF($Q$7:$Q$165&lt;&gt;"",ROW($Q$7:$Q$165)-MIN(ROW($Q$7:$Q$165))+1,""),""),ROW()-ROW(A$167)+1)),"##0")," "),"")</f>
        <v/>
      </c>
      <c r="S168" s="0" t="str">
        <f aca="false">IFERROR(CONCATENATE((INDEX($A$7:$A$165,SMALL(IF($T$7:$T$165&lt;&gt;"",IF($Q$7:$Q$165&lt;&gt;"",ROW($Q$7:$Q$165)-MIN(ROW($Q$7:$Q$165))+1,""),""),ROW()-ROW(A$167)+1))),),"")</f>
        <v/>
      </c>
      <c r="W168" s="0" t="str">
        <f aca="false">IFERROR(CONCATENATE((INDEX($Z$7:$Z$165,SMALL(IF($Z$7:$Z$165&lt;&gt;"",IF($W$7:$W$165&lt;&gt;"",ROW($W$7:$W$165)-MIN(ROW($W$7:$W$165))+1,""),""),ROW()-ROW(A$167)+1))),","),"")</f>
        <v/>
      </c>
      <c r="X168" s="0" t="str">
        <f aca="false">IFERROR(CONCATENATE(TEXT(INDEX($W$7:$W$165,SMALL(IF($Z$7:$Z$165&lt;&gt;"",IF($W$7:$W$165&lt;&gt;"",ROW($W$7:$W$165)-MIN(ROW($W$7:$W$165))+1,""),""),ROW()-ROW(A$167)+1)),"##0"),","),"")</f>
        <v/>
      </c>
      <c r="Y168" s="0" t="str">
        <f aca="false">IFERROR(CONCATENATE((INDEX($A$7:$A$165,SMALL(IF($Z$7:$Z$165&lt;&gt;"",IF($W$7:$W$165&lt;&gt;"",ROW($W$7:$W$165)-MIN(ROW($W$7:$W$165))+1,""),""),ROW()-ROW(A$167)+1))),),"")</f>
        <v/>
      </c>
    </row>
    <row r="169" customFormat="false" ht="13.8" hidden="false" customHeight="false" outlineLevel="0" collapsed="false">
      <c r="K169" s="0" t="str">
        <f aca="false">IFERROR(CONCATENATE(TEXT(INDEX($K$7:$K$165,SMALL(IF($N$7:$N$165&lt;&gt;"",IF($K$7:$K$165&lt;&gt;"",ROW($K$7:$K$165)-MIN(ROW($K$7:$K$165))+1,""),""),ROW()-ROW(A$167)+1)),"##0"),","),"")</f>
        <v/>
      </c>
      <c r="L169" s="0" t="str">
        <f aca="false">IFERROR(CONCATENATE((INDEX($N$7:$N$165,SMALL(IF($N$7:$N$165&lt;&gt;"",IF($K$7:$K$165&lt;&gt;"",ROW($K$7:$K$165)-MIN(ROW($K$7:$K$165))+1,""),""),ROW()-ROW(A$167)+1))),","),"")</f>
        <v/>
      </c>
      <c r="M169" s="0" t="str">
        <f aca="false">IFERROR(CONCATENATE((INDEX($A$7:$A$165,SMALL(IF($N$7:$N$165&lt;&gt;"",IF($K$7:$K$165&lt;&gt;"",ROW($K$7:$K$165)-MIN(ROW($K$7:$K$165))+1,""),""),ROW()-ROW(A$167)+1))),),"")</f>
        <v/>
      </c>
      <c r="Q169" s="0" t="str">
        <f aca="false">IFERROR(CONCATENATE((INDEX($T$7:$T$165,SMALL(IF($T$7:$T$165&lt;&gt;"",IF($Q$7:$Q$165&lt;&gt;"",ROW($Q$7:$Q$165)-MIN(ROW($Q$7:$Q$165))+1,""),""),ROW()-ROW(A$167)+1)))," "),"")</f>
        <v/>
      </c>
      <c r="R169" s="0" t="str">
        <f aca="false">IFERROR(CONCATENATE(TEXT(INDEX($Q$7:$Q$165,SMALL(IF($T$7:$T$165&lt;&gt;"",IF($Q$7:$Q$165&lt;&gt;"",ROW($Q$7:$Q$165)-MIN(ROW($Q$7:$Q$165))+1,""),""),ROW()-ROW(A$167)+1)),"##0")," "),"")</f>
        <v/>
      </c>
      <c r="S169" s="0" t="str">
        <f aca="false">IFERROR(CONCATENATE((INDEX($A$7:$A$165,SMALL(IF($T$7:$T$165&lt;&gt;"",IF($Q$7:$Q$165&lt;&gt;"",ROW($Q$7:$Q$165)-MIN(ROW($Q$7:$Q$165))+1,""),""),ROW()-ROW(A$167)+1))),),"")</f>
        <v/>
      </c>
      <c r="W169" s="0" t="str">
        <f aca="false">IFERROR(CONCATENATE((INDEX($Z$7:$Z$165,SMALL(IF($Z$7:$Z$165&lt;&gt;"",IF($W$7:$W$165&lt;&gt;"",ROW($W$7:$W$165)-MIN(ROW($W$7:$W$165))+1,""),""),ROW()-ROW(A$167)+1))),","),"")</f>
        <v/>
      </c>
      <c r="X169" s="0" t="str">
        <f aca="false">IFERROR(CONCATENATE(TEXT(INDEX($W$7:$W$165,SMALL(IF($Z$7:$Z$165&lt;&gt;"",IF($W$7:$W$165&lt;&gt;"",ROW($W$7:$W$165)-MIN(ROW($W$7:$W$165))+1,""),""),ROW()-ROW(A$167)+1)),"##0"),","),"")</f>
        <v/>
      </c>
      <c r="Y169" s="0" t="str">
        <f aca="false">IFERROR(CONCATENATE((INDEX($A$7:$A$165,SMALL(IF($Z$7:$Z$165&lt;&gt;"",IF($W$7:$W$165&lt;&gt;"",ROW($W$7:$W$165)-MIN(ROW($W$7:$W$165))+1,""),""),ROW()-ROW(A$167)+1))),),"")</f>
        <v/>
      </c>
    </row>
    <row r="170" customFormat="false" ht="13.8" hidden="false" customHeight="false" outlineLevel="0" collapsed="false">
      <c r="K170" s="0" t="str">
        <f aca="false">IFERROR(CONCATENATE(TEXT(INDEX($K$7:$K$165,SMALL(IF($N$7:$N$165&lt;&gt;"",IF($K$7:$K$165&lt;&gt;"",ROW($K$7:$K$165)-MIN(ROW($K$7:$K$165))+1,""),""),ROW()-ROW(A$167)+1)),"##0"),","),"")</f>
        <v/>
      </c>
      <c r="L170" s="0" t="str">
        <f aca="false">IFERROR(CONCATENATE((INDEX($N$7:$N$165,SMALL(IF($N$7:$N$165&lt;&gt;"",IF($K$7:$K$165&lt;&gt;"",ROW($K$7:$K$165)-MIN(ROW($K$7:$K$165))+1,""),""),ROW()-ROW(A$167)+1))),","),"")</f>
        <v/>
      </c>
      <c r="M170" s="0" t="str">
        <f aca="false">IFERROR(CONCATENATE((INDEX($A$7:$A$165,SMALL(IF($N$7:$N$165&lt;&gt;"",IF($K$7:$K$165&lt;&gt;"",ROW($K$7:$K$165)-MIN(ROW($K$7:$K$165))+1,""),""),ROW()-ROW(A$167)+1))),),"")</f>
        <v/>
      </c>
      <c r="Q170" s="0" t="str">
        <f aca="false">IFERROR(CONCATENATE((INDEX($T$7:$T$165,SMALL(IF($T$7:$T$165&lt;&gt;"",IF($Q$7:$Q$165&lt;&gt;"",ROW($Q$7:$Q$165)-MIN(ROW($Q$7:$Q$165))+1,""),""),ROW()-ROW(A$167)+1)))," "),"")</f>
        <v/>
      </c>
      <c r="R170" s="0" t="str">
        <f aca="false">IFERROR(CONCATENATE(TEXT(INDEX($Q$7:$Q$165,SMALL(IF($T$7:$T$165&lt;&gt;"",IF($Q$7:$Q$165&lt;&gt;"",ROW($Q$7:$Q$165)-MIN(ROW($Q$7:$Q$165))+1,""),""),ROW()-ROW(A$167)+1)),"##0")," "),"")</f>
        <v/>
      </c>
      <c r="S170" s="0" t="str">
        <f aca="false">IFERROR(CONCATENATE((INDEX($A$7:$A$165,SMALL(IF($T$7:$T$165&lt;&gt;"",IF($Q$7:$Q$165&lt;&gt;"",ROW($Q$7:$Q$165)-MIN(ROW($Q$7:$Q$165))+1,""),""),ROW()-ROW(A$167)+1))),),"")</f>
        <v/>
      </c>
      <c r="W170" s="0" t="str">
        <f aca="false">IFERROR(CONCATENATE((INDEX($Z$7:$Z$165,SMALL(IF($Z$7:$Z$165&lt;&gt;"",IF($W$7:$W$165&lt;&gt;"",ROW($W$7:$W$165)-MIN(ROW($W$7:$W$165))+1,""),""),ROW()-ROW(A$167)+1))),","),"")</f>
        <v/>
      </c>
      <c r="X170" s="0" t="str">
        <f aca="false">IFERROR(CONCATENATE(TEXT(INDEX($W$7:$W$165,SMALL(IF($Z$7:$Z$165&lt;&gt;"",IF($W$7:$W$165&lt;&gt;"",ROW($W$7:$W$165)-MIN(ROW($W$7:$W$165))+1,""),""),ROW()-ROW(A$167)+1)),"##0"),","),"")</f>
        <v/>
      </c>
      <c r="Y170" s="0" t="str">
        <f aca="false">IFERROR(CONCATENATE((INDEX($A$7:$A$165,SMALL(IF($Z$7:$Z$165&lt;&gt;"",IF($W$7:$W$165&lt;&gt;"",ROW($W$7:$W$165)-MIN(ROW($W$7:$W$165))+1,""),""),ROW()-ROW(A$167)+1))),),"")</f>
        <v/>
      </c>
    </row>
    <row r="171" customFormat="false" ht="13.8" hidden="false" customHeight="false" outlineLevel="0" collapsed="false">
      <c r="K171" s="0" t="str">
        <f aca="false">IFERROR(CONCATENATE(TEXT(INDEX($K$7:$K$165,SMALL(IF($N$7:$N$165&lt;&gt;"",IF($K$7:$K$165&lt;&gt;"",ROW($K$7:$K$165)-MIN(ROW($K$7:$K$165))+1,""),""),ROW()-ROW(A$167)+1)),"##0"),","),"")</f>
        <v/>
      </c>
      <c r="L171" s="0" t="str">
        <f aca="false">IFERROR(CONCATENATE((INDEX($N$7:$N$165,SMALL(IF($N$7:$N$165&lt;&gt;"",IF($K$7:$K$165&lt;&gt;"",ROW($K$7:$K$165)-MIN(ROW($K$7:$K$165))+1,""),""),ROW()-ROW(A$167)+1))),","),"")</f>
        <v/>
      </c>
      <c r="M171" s="0" t="str">
        <f aca="false">IFERROR(CONCATENATE((INDEX($A$7:$A$165,SMALL(IF($N$7:$N$165&lt;&gt;"",IF($K$7:$K$165&lt;&gt;"",ROW($K$7:$K$165)-MIN(ROW($K$7:$K$165))+1,""),""),ROW()-ROW(A$167)+1))),),"")</f>
        <v/>
      </c>
      <c r="Q171" s="0" t="str">
        <f aca="false">IFERROR(CONCATENATE((INDEX($T$7:$T$165,SMALL(IF($T$7:$T$165&lt;&gt;"",IF($Q$7:$Q$165&lt;&gt;"",ROW($Q$7:$Q$165)-MIN(ROW($Q$7:$Q$165))+1,""),""),ROW()-ROW(A$167)+1)))," "),"")</f>
        <v/>
      </c>
      <c r="R171" s="0" t="str">
        <f aca="false">IFERROR(CONCATENATE(TEXT(INDEX($Q$7:$Q$165,SMALL(IF($T$7:$T$165&lt;&gt;"",IF($Q$7:$Q$165&lt;&gt;"",ROW($Q$7:$Q$165)-MIN(ROW($Q$7:$Q$165))+1,""),""),ROW()-ROW(A$167)+1)),"##0")," "),"")</f>
        <v/>
      </c>
      <c r="S171" s="0" t="str">
        <f aca="false">IFERROR(CONCATENATE((INDEX($A$7:$A$165,SMALL(IF($T$7:$T$165&lt;&gt;"",IF($Q$7:$Q$165&lt;&gt;"",ROW($Q$7:$Q$165)-MIN(ROW($Q$7:$Q$165))+1,""),""),ROW()-ROW(A$167)+1))),),"")</f>
        <v/>
      </c>
      <c r="W171" s="0" t="str">
        <f aca="false">IFERROR(CONCATENATE((INDEX($Z$7:$Z$165,SMALL(IF($Z$7:$Z$165&lt;&gt;"",IF($W$7:$W$165&lt;&gt;"",ROW($W$7:$W$165)-MIN(ROW($W$7:$W$165))+1,""),""),ROW()-ROW(A$167)+1))),","),"")</f>
        <v/>
      </c>
      <c r="X171" s="0" t="str">
        <f aca="false">IFERROR(CONCATENATE(TEXT(INDEX($W$7:$W$165,SMALL(IF($Z$7:$Z$165&lt;&gt;"",IF($W$7:$W$165&lt;&gt;"",ROW($W$7:$W$165)-MIN(ROW($W$7:$W$165))+1,""),""),ROW()-ROW(A$167)+1)),"##0"),","),"")</f>
        <v/>
      </c>
      <c r="Y171" s="0" t="str">
        <f aca="false">IFERROR(CONCATENATE((INDEX($A$7:$A$165,SMALL(IF($Z$7:$Z$165&lt;&gt;"",IF($W$7:$W$165&lt;&gt;"",ROW($W$7:$W$165)-MIN(ROW($W$7:$W$165))+1,""),""),ROW()-ROW(A$167)+1))),),"")</f>
        <v/>
      </c>
    </row>
    <row r="172" customFormat="false" ht="13.8" hidden="false" customHeight="false" outlineLevel="0" collapsed="false">
      <c r="K172" s="0" t="str">
        <f aca="false">IFERROR(CONCATENATE(TEXT(INDEX($K$7:$K$165,SMALL(IF($N$7:$N$165&lt;&gt;"",IF($K$7:$K$165&lt;&gt;"",ROW($K$7:$K$165)-MIN(ROW($K$7:$K$165))+1,""),""),ROW()-ROW(A$167)+1)),"##0"),","),"")</f>
        <v/>
      </c>
      <c r="L172" s="0" t="str">
        <f aca="false">IFERROR(CONCATENATE((INDEX($N$7:$N$165,SMALL(IF($N$7:$N$165&lt;&gt;"",IF($K$7:$K$165&lt;&gt;"",ROW($K$7:$K$165)-MIN(ROW($K$7:$K$165))+1,""),""),ROW()-ROW(A$167)+1))),","),"")</f>
        <v/>
      </c>
      <c r="M172" s="0" t="str">
        <f aca="false">IFERROR(CONCATENATE((INDEX($A$7:$A$165,SMALL(IF($N$7:$N$165&lt;&gt;"",IF($K$7:$K$165&lt;&gt;"",ROW($K$7:$K$165)-MIN(ROW($K$7:$K$165))+1,""),""),ROW()-ROW(A$167)+1))),),"")</f>
        <v/>
      </c>
      <c r="Q172" s="0" t="str">
        <f aca="false">IFERROR(CONCATENATE((INDEX($T$7:$T$165,SMALL(IF($T$7:$T$165&lt;&gt;"",IF($Q$7:$Q$165&lt;&gt;"",ROW($Q$7:$Q$165)-MIN(ROW($Q$7:$Q$165))+1,""),""),ROW()-ROW(A$167)+1)))," "),"")</f>
        <v/>
      </c>
      <c r="R172" s="0" t="str">
        <f aca="false">IFERROR(CONCATENATE(TEXT(INDEX($Q$7:$Q$165,SMALL(IF($T$7:$T$165&lt;&gt;"",IF($Q$7:$Q$165&lt;&gt;"",ROW($Q$7:$Q$165)-MIN(ROW($Q$7:$Q$165))+1,""),""),ROW()-ROW(A$167)+1)),"##0")," "),"")</f>
        <v/>
      </c>
      <c r="S172" s="0" t="str">
        <f aca="false">IFERROR(CONCATENATE((INDEX($A$7:$A$165,SMALL(IF($T$7:$T$165&lt;&gt;"",IF($Q$7:$Q$165&lt;&gt;"",ROW($Q$7:$Q$165)-MIN(ROW($Q$7:$Q$165))+1,""),""),ROW()-ROW(A$167)+1))),),"")</f>
        <v/>
      </c>
      <c r="W172" s="0" t="str">
        <f aca="false">IFERROR(CONCATENATE((INDEX($Z$7:$Z$165,SMALL(IF($Z$7:$Z$165&lt;&gt;"",IF($W$7:$W$165&lt;&gt;"",ROW($W$7:$W$165)-MIN(ROW($W$7:$W$165))+1,""),""),ROW()-ROW(A$167)+1))),","),"")</f>
        <v/>
      </c>
      <c r="X172" s="0" t="str">
        <f aca="false">IFERROR(CONCATENATE(TEXT(INDEX($W$7:$W$165,SMALL(IF($Z$7:$Z$165&lt;&gt;"",IF($W$7:$W$165&lt;&gt;"",ROW($W$7:$W$165)-MIN(ROW($W$7:$W$165))+1,""),""),ROW()-ROW(A$167)+1)),"##0"),","),"")</f>
        <v/>
      </c>
      <c r="Y172" s="0" t="str">
        <f aca="false">IFERROR(CONCATENATE((INDEX($A$7:$A$165,SMALL(IF($Z$7:$Z$165&lt;&gt;"",IF($W$7:$W$165&lt;&gt;"",ROW($W$7:$W$165)-MIN(ROW($W$7:$W$165))+1,""),""),ROW()-ROW(A$167)+1))),),"")</f>
        <v/>
      </c>
    </row>
    <row r="173" customFormat="false" ht="13.8" hidden="false" customHeight="false" outlineLevel="0" collapsed="false">
      <c r="K173" s="0" t="str">
        <f aca="false">IFERROR(CONCATENATE(TEXT(INDEX($K$7:$K$165,SMALL(IF($N$7:$N$165&lt;&gt;"",IF($K$7:$K$165&lt;&gt;"",ROW($K$7:$K$165)-MIN(ROW($K$7:$K$165))+1,""),""),ROW()-ROW(A$167)+1)),"##0"),","),"")</f>
        <v/>
      </c>
      <c r="L173" s="0" t="str">
        <f aca="false">IFERROR(CONCATENATE((INDEX($N$7:$N$165,SMALL(IF($N$7:$N$165&lt;&gt;"",IF($K$7:$K$165&lt;&gt;"",ROW($K$7:$K$165)-MIN(ROW($K$7:$K$165))+1,""),""),ROW()-ROW(A$167)+1))),","),"")</f>
        <v/>
      </c>
      <c r="M173" s="0" t="str">
        <f aca="false">IFERROR(CONCATENATE((INDEX($A$7:$A$165,SMALL(IF($N$7:$N$165&lt;&gt;"",IF($K$7:$K$165&lt;&gt;"",ROW($K$7:$K$165)-MIN(ROW($K$7:$K$165))+1,""),""),ROW()-ROW(A$167)+1))),),"")</f>
        <v/>
      </c>
      <c r="Q173" s="0" t="str">
        <f aca="false">IFERROR(CONCATENATE((INDEX($T$7:$T$165,SMALL(IF($T$7:$T$165&lt;&gt;"",IF($Q$7:$Q$165&lt;&gt;"",ROW($Q$7:$Q$165)-MIN(ROW($Q$7:$Q$165))+1,""),""),ROW()-ROW(A$167)+1)))," "),"")</f>
        <v/>
      </c>
      <c r="R173" s="0" t="str">
        <f aca="false">IFERROR(CONCATENATE(TEXT(INDEX($Q$7:$Q$165,SMALL(IF($T$7:$T$165&lt;&gt;"",IF($Q$7:$Q$165&lt;&gt;"",ROW($Q$7:$Q$165)-MIN(ROW($Q$7:$Q$165))+1,""),""),ROW()-ROW(A$167)+1)),"##0")," "),"")</f>
        <v/>
      </c>
      <c r="S173" s="0" t="str">
        <f aca="false">IFERROR(CONCATENATE((INDEX($A$7:$A$165,SMALL(IF($T$7:$T$165&lt;&gt;"",IF($Q$7:$Q$165&lt;&gt;"",ROW($Q$7:$Q$165)-MIN(ROW($Q$7:$Q$165))+1,""),""),ROW()-ROW(A$167)+1))),),"")</f>
        <v/>
      </c>
      <c r="W173" s="0" t="str">
        <f aca="false">IFERROR(CONCATENATE((INDEX($Z$7:$Z$165,SMALL(IF($Z$7:$Z$165&lt;&gt;"",IF($W$7:$W$165&lt;&gt;"",ROW($W$7:$W$165)-MIN(ROW($W$7:$W$165))+1,""),""),ROW()-ROW(A$167)+1))),","),"")</f>
        <v/>
      </c>
      <c r="X173" s="0" t="str">
        <f aca="false">IFERROR(CONCATENATE(TEXT(INDEX($W$7:$W$165,SMALL(IF($Z$7:$Z$165&lt;&gt;"",IF($W$7:$W$165&lt;&gt;"",ROW($W$7:$W$165)-MIN(ROW($W$7:$W$165))+1,""),""),ROW()-ROW(A$167)+1)),"##0"),","),"")</f>
        <v/>
      </c>
      <c r="Y173" s="0" t="str">
        <f aca="false">IFERROR(CONCATENATE((INDEX($A$7:$A$165,SMALL(IF($Z$7:$Z$165&lt;&gt;"",IF($W$7:$W$165&lt;&gt;"",ROW($W$7:$W$165)-MIN(ROW($W$7:$W$165))+1,""),""),ROW()-ROW(A$167)+1))),),"")</f>
        <v/>
      </c>
    </row>
    <row r="174" customFormat="false" ht="13.8" hidden="false" customHeight="false" outlineLevel="0" collapsed="false">
      <c r="K174" s="0" t="str">
        <f aca="false">IFERROR(CONCATENATE(TEXT(INDEX($K$7:$K$165,SMALL(IF($N$7:$N$165&lt;&gt;"",IF($K$7:$K$165&lt;&gt;"",ROW($K$7:$K$165)-MIN(ROW($K$7:$K$165))+1,""),""),ROW()-ROW(A$167)+1)),"##0"),","),"")</f>
        <v/>
      </c>
      <c r="L174" s="0" t="str">
        <f aca="false">IFERROR(CONCATENATE((INDEX($N$7:$N$165,SMALL(IF($N$7:$N$165&lt;&gt;"",IF($K$7:$K$165&lt;&gt;"",ROW($K$7:$K$165)-MIN(ROW($K$7:$K$165))+1,""),""),ROW()-ROW(A$167)+1))),","),"")</f>
        <v/>
      </c>
      <c r="M174" s="0" t="str">
        <f aca="false">IFERROR(CONCATENATE((INDEX($A$7:$A$165,SMALL(IF($N$7:$N$165&lt;&gt;"",IF($K$7:$K$165&lt;&gt;"",ROW($K$7:$K$165)-MIN(ROW($K$7:$K$165))+1,""),""),ROW()-ROW(A$167)+1))),),"")</f>
        <v/>
      </c>
      <c r="Q174" s="0" t="str">
        <f aca="false">IFERROR(CONCATENATE((INDEX($T$7:$T$165,SMALL(IF($T$7:$T$165&lt;&gt;"",IF($Q$7:$Q$165&lt;&gt;"",ROW($Q$7:$Q$165)-MIN(ROW($Q$7:$Q$165))+1,""),""),ROW()-ROW(A$167)+1)))," "),"")</f>
        <v/>
      </c>
      <c r="R174" s="0" t="str">
        <f aca="false">IFERROR(CONCATENATE(TEXT(INDEX($Q$7:$Q$165,SMALL(IF($T$7:$T$165&lt;&gt;"",IF($Q$7:$Q$165&lt;&gt;"",ROW($Q$7:$Q$165)-MIN(ROW($Q$7:$Q$165))+1,""),""),ROW()-ROW(A$167)+1)),"##0")," "),"")</f>
        <v/>
      </c>
      <c r="S174" s="0" t="str">
        <f aca="false">IFERROR(CONCATENATE((INDEX($A$7:$A$165,SMALL(IF($T$7:$T$165&lt;&gt;"",IF($Q$7:$Q$165&lt;&gt;"",ROW($Q$7:$Q$165)-MIN(ROW($Q$7:$Q$165))+1,""),""),ROW()-ROW(A$167)+1))),),"")</f>
        <v/>
      </c>
      <c r="W174" s="0" t="str">
        <f aca="false">IFERROR(CONCATENATE((INDEX($Z$7:$Z$165,SMALL(IF($Z$7:$Z$165&lt;&gt;"",IF($W$7:$W$165&lt;&gt;"",ROW($W$7:$W$165)-MIN(ROW($W$7:$W$165))+1,""),""),ROW()-ROW(A$167)+1))),","),"")</f>
        <v/>
      </c>
      <c r="X174" s="0" t="str">
        <f aca="false">IFERROR(CONCATENATE(TEXT(INDEX($W$7:$W$165,SMALL(IF($Z$7:$Z$165&lt;&gt;"",IF($W$7:$W$165&lt;&gt;"",ROW($W$7:$W$165)-MIN(ROW($W$7:$W$165))+1,""),""),ROW()-ROW(A$167)+1)),"##0"),","),"")</f>
        <v/>
      </c>
      <c r="Y174" s="0" t="str">
        <f aca="false">IFERROR(CONCATENATE((INDEX($A$7:$A$165,SMALL(IF($Z$7:$Z$165&lt;&gt;"",IF($W$7:$W$165&lt;&gt;"",ROW($W$7:$W$165)-MIN(ROW($W$7:$W$165))+1,""),""),ROW()-ROW(A$167)+1))),),"")</f>
        <v/>
      </c>
    </row>
    <row r="175" customFormat="false" ht="13.8" hidden="false" customHeight="false" outlineLevel="0" collapsed="false">
      <c r="K175" s="0" t="str">
        <f aca="false">IFERROR(CONCATENATE(TEXT(INDEX($K$7:$K$165,SMALL(IF($N$7:$N$165&lt;&gt;"",IF($K$7:$K$165&lt;&gt;"",ROW($K$7:$K$165)-MIN(ROW($K$7:$K$165))+1,""),""),ROW()-ROW(A$167)+1)),"##0"),","),"")</f>
        <v/>
      </c>
      <c r="L175" s="0" t="str">
        <f aca="false">IFERROR(CONCATENATE((INDEX($N$7:$N$165,SMALL(IF($N$7:$N$165&lt;&gt;"",IF($K$7:$K$165&lt;&gt;"",ROW($K$7:$K$165)-MIN(ROW($K$7:$K$165))+1,""),""),ROW()-ROW(A$167)+1))),","),"")</f>
        <v/>
      </c>
      <c r="M175" s="0" t="str">
        <f aca="false">IFERROR(CONCATENATE((INDEX($A$7:$A$165,SMALL(IF($N$7:$N$165&lt;&gt;"",IF($K$7:$K$165&lt;&gt;"",ROW($K$7:$K$165)-MIN(ROW($K$7:$K$165))+1,""),""),ROW()-ROW(A$167)+1))),),"")</f>
        <v/>
      </c>
      <c r="Q175" s="0" t="str">
        <f aca="false">IFERROR(CONCATENATE((INDEX($T$7:$T$165,SMALL(IF($T$7:$T$165&lt;&gt;"",IF($Q$7:$Q$165&lt;&gt;"",ROW($Q$7:$Q$165)-MIN(ROW($Q$7:$Q$165))+1,""),""),ROW()-ROW(A$167)+1)))," "),"")</f>
        <v/>
      </c>
      <c r="R175" s="0" t="str">
        <f aca="false">IFERROR(CONCATENATE(TEXT(INDEX($Q$7:$Q$165,SMALL(IF($T$7:$T$165&lt;&gt;"",IF($Q$7:$Q$165&lt;&gt;"",ROW($Q$7:$Q$165)-MIN(ROW($Q$7:$Q$165))+1,""),""),ROW()-ROW(A$167)+1)),"##0")," "),"")</f>
        <v/>
      </c>
      <c r="S175" s="0" t="str">
        <f aca="false">IFERROR(CONCATENATE((INDEX($A$7:$A$165,SMALL(IF($T$7:$T$165&lt;&gt;"",IF($Q$7:$Q$165&lt;&gt;"",ROW($Q$7:$Q$165)-MIN(ROW($Q$7:$Q$165))+1,""),""),ROW()-ROW(A$167)+1))),),"")</f>
        <v/>
      </c>
      <c r="W175" s="0" t="str">
        <f aca="false">IFERROR(CONCATENATE((INDEX($Z$7:$Z$165,SMALL(IF($Z$7:$Z$165&lt;&gt;"",IF($W$7:$W$165&lt;&gt;"",ROW($W$7:$W$165)-MIN(ROW($W$7:$W$165))+1,""),""),ROW()-ROW(A$167)+1))),","),"")</f>
        <v/>
      </c>
      <c r="X175" s="0" t="str">
        <f aca="false">IFERROR(CONCATENATE(TEXT(INDEX($W$7:$W$165,SMALL(IF($Z$7:$Z$165&lt;&gt;"",IF($W$7:$W$165&lt;&gt;"",ROW($W$7:$W$165)-MIN(ROW($W$7:$W$165))+1,""),""),ROW()-ROW(A$167)+1)),"##0"),","),"")</f>
        <v/>
      </c>
      <c r="Y175" s="0" t="str">
        <f aca="false">IFERROR(CONCATENATE((INDEX($A$7:$A$165,SMALL(IF($Z$7:$Z$165&lt;&gt;"",IF($W$7:$W$165&lt;&gt;"",ROW($W$7:$W$165)-MIN(ROW($W$7:$W$165))+1,""),""),ROW()-ROW(A$167)+1))),),"")</f>
        <v/>
      </c>
    </row>
    <row r="176" customFormat="false" ht="13.8" hidden="false" customHeight="false" outlineLevel="0" collapsed="false">
      <c r="K176" s="0" t="str">
        <f aca="false">IFERROR(CONCATENATE(TEXT(INDEX($K$7:$K$165,SMALL(IF($N$7:$N$165&lt;&gt;"",IF($K$7:$K$165&lt;&gt;"",ROW($K$7:$K$165)-MIN(ROW($K$7:$K$165))+1,""),""),ROW()-ROW(A$167)+1)),"##0"),","),"")</f>
        <v/>
      </c>
      <c r="L176" s="0" t="str">
        <f aca="false">IFERROR(CONCATENATE((INDEX($N$7:$N$165,SMALL(IF($N$7:$N$165&lt;&gt;"",IF($K$7:$K$165&lt;&gt;"",ROW($K$7:$K$165)-MIN(ROW($K$7:$K$165))+1,""),""),ROW()-ROW(A$167)+1))),","),"")</f>
        <v/>
      </c>
      <c r="M176" s="0" t="str">
        <f aca="false">IFERROR(CONCATENATE((INDEX($A$7:$A$165,SMALL(IF($N$7:$N$165&lt;&gt;"",IF($K$7:$K$165&lt;&gt;"",ROW($K$7:$K$165)-MIN(ROW($K$7:$K$165))+1,""),""),ROW()-ROW(A$167)+1))),),"")</f>
        <v/>
      </c>
      <c r="Q176" s="0" t="str">
        <f aca="false">IFERROR(CONCATENATE((INDEX($T$7:$T$165,SMALL(IF($T$7:$T$165&lt;&gt;"",IF($Q$7:$Q$165&lt;&gt;"",ROW($Q$7:$Q$165)-MIN(ROW($Q$7:$Q$165))+1,""),""),ROW()-ROW(A$167)+1)))," "),"")</f>
        <v/>
      </c>
      <c r="R176" s="0" t="str">
        <f aca="false">IFERROR(CONCATENATE(TEXT(INDEX($Q$7:$Q$165,SMALL(IF($T$7:$T$165&lt;&gt;"",IF($Q$7:$Q$165&lt;&gt;"",ROW($Q$7:$Q$165)-MIN(ROW($Q$7:$Q$165))+1,""),""),ROW()-ROW(A$167)+1)),"##0")," "),"")</f>
        <v/>
      </c>
      <c r="S176" s="0" t="str">
        <f aca="false">IFERROR(CONCATENATE((INDEX($A$7:$A$165,SMALL(IF($T$7:$T$165&lt;&gt;"",IF($Q$7:$Q$165&lt;&gt;"",ROW($Q$7:$Q$165)-MIN(ROW($Q$7:$Q$165))+1,""),""),ROW()-ROW(A$167)+1))),),"")</f>
        <v/>
      </c>
      <c r="W176" s="0" t="str">
        <f aca="false">IFERROR(CONCATENATE((INDEX($Z$7:$Z$165,SMALL(IF($Z$7:$Z$165&lt;&gt;"",IF($W$7:$W$165&lt;&gt;"",ROW($W$7:$W$165)-MIN(ROW($W$7:$W$165))+1,""),""),ROW()-ROW(A$167)+1))),","),"")</f>
        <v/>
      </c>
      <c r="X176" s="0" t="str">
        <f aca="false">IFERROR(CONCATENATE(TEXT(INDEX($W$7:$W$165,SMALL(IF($Z$7:$Z$165&lt;&gt;"",IF($W$7:$W$165&lt;&gt;"",ROW($W$7:$W$165)-MIN(ROW($W$7:$W$165))+1,""),""),ROW()-ROW(A$167)+1)),"##0"),","),"")</f>
        <v/>
      </c>
      <c r="Y176" s="0" t="str">
        <f aca="false">IFERROR(CONCATENATE((INDEX($A$7:$A$165,SMALL(IF($Z$7:$Z$165&lt;&gt;"",IF($W$7:$W$165&lt;&gt;"",ROW($W$7:$W$165)-MIN(ROW($W$7:$W$165))+1,""),""),ROW()-ROW(A$167)+1))),),"")</f>
        <v/>
      </c>
    </row>
    <row r="177" customFormat="false" ht="13.8" hidden="false" customHeight="false" outlineLevel="0" collapsed="false">
      <c r="K177" s="0" t="str">
        <f aca="false">IFERROR(CONCATENATE(TEXT(INDEX($K$7:$K$165,SMALL(IF($N$7:$N$165&lt;&gt;"",IF($K$7:$K$165&lt;&gt;"",ROW($K$7:$K$165)-MIN(ROW($K$7:$K$165))+1,""),""),ROW()-ROW(A$167)+1)),"##0"),","),"")</f>
        <v/>
      </c>
      <c r="L177" s="0" t="str">
        <f aca="false">IFERROR(CONCATENATE((INDEX($N$7:$N$165,SMALL(IF($N$7:$N$165&lt;&gt;"",IF($K$7:$K$165&lt;&gt;"",ROW($K$7:$K$165)-MIN(ROW($K$7:$K$165))+1,""),""),ROW()-ROW(A$167)+1))),","),"")</f>
        <v/>
      </c>
      <c r="M177" s="0" t="str">
        <f aca="false">IFERROR(CONCATENATE((INDEX($A$7:$A$165,SMALL(IF($N$7:$N$165&lt;&gt;"",IF($K$7:$K$165&lt;&gt;"",ROW($K$7:$K$165)-MIN(ROW($K$7:$K$165))+1,""),""),ROW()-ROW(A$167)+1))),),"")</f>
        <v/>
      </c>
      <c r="Q177" s="0" t="str">
        <f aca="false">IFERROR(CONCATENATE((INDEX($T$7:$T$165,SMALL(IF($T$7:$T$165&lt;&gt;"",IF($Q$7:$Q$165&lt;&gt;"",ROW($Q$7:$Q$165)-MIN(ROW($Q$7:$Q$165))+1,""),""),ROW()-ROW(A$167)+1)))," "),"")</f>
        <v/>
      </c>
      <c r="R177" s="0" t="str">
        <f aca="false">IFERROR(CONCATENATE(TEXT(INDEX($Q$7:$Q$165,SMALL(IF($T$7:$T$165&lt;&gt;"",IF($Q$7:$Q$165&lt;&gt;"",ROW($Q$7:$Q$165)-MIN(ROW($Q$7:$Q$165))+1,""),""),ROW()-ROW(A$167)+1)),"##0")," "),"")</f>
        <v/>
      </c>
      <c r="S177" s="0" t="str">
        <f aca="false">IFERROR(CONCATENATE((INDEX($A$7:$A$165,SMALL(IF($T$7:$T$165&lt;&gt;"",IF($Q$7:$Q$165&lt;&gt;"",ROW($Q$7:$Q$165)-MIN(ROW($Q$7:$Q$165))+1,""),""),ROW()-ROW(A$167)+1))),),"")</f>
        <v/>
      </c>
      <c r="W177" s="0" t="str">
        <f aca="false">IFERROR(CONCATENATE((INDEX($Z$7:$Z$165,SMALL(IF($Z$7:$Z$165&lt;&gt;"",IF($W$7:$W$165&lt;&gt;"",ROW($W$7:$W$165)-MIN(ROW($W$7:$W$165))+1,""),""),ROW()-ROW(A$167)+1))),","),"")</f>
        <v/>
      </c>
      <c r="X177" s="0" t="str">
        <f aca="false">IFERROR(CONCATENATE(TEXT(INDEX($W$7:$W$165,SMALL(IF($Z$7:$Z$165&lt;&gt;"",IF($W$7:$W$165&lt;&gt;"",ROW($W$7:$W$165)-MIN(ROW($W$7:$W$165))+1,""),""),ROW()-ROW(A$167)+1)),"##0"),","),"")</f>
        <v/>
      </c>
      <c r="Y177" s="0" t="str">
        <f aca="false">IFERROR(CONCATENATE((INDEX($A$7:$A$165,SMALL(IF($Z$7:$Z$165&lt;&gt;"",IF($W$7:$W$165&lt;&gt;"",ROW($W$7:$W$165)-MIN(ROW($W$7:$W$165))+1,""),""),ROW()-ROW(A$167)+1))),),"")</f>
        <v/>
      </c>
    </row>
    <row r="178" customFormat="false" ht="13.8" hidden="false" customHeight="false" outlineLevel="0" collapsed="false">
      <c r="K178" s="0" t="str">
        <f aca="false">IFERROR(CONCATENATE(TEXT(INDEX($K$7:$K$165,SMALL(IF($N$7:$N$165&lt;&gt;"",IF($K$7:$K$165&lt;&gt;"",ROW($K$7:$K$165)-MIN(ROW($K$7:$K$165))+1,""),""),ROW()-ROW(A$167)+1)),"##0"),","),"")</f>
        <v/>
      </c>
      <c r="L178" s="0" t="str">
        <f aca="false">IFERROR(CONCATENATE((INDEX($N$7:$N$165,SMALL(IF($N$7:$N$165&lt;&gt;"",IF($K$7:$K$165&lt;&gt;"",ROW($K$7:$K$165)-MIN(ROW($K$7:$K$165))+1,""),""),ROW()-ROW(A$167)+1))),","),"")</f>
        <v/>
      </c>
      <c r="M178" s="0" t="str">
        <f aca="false">IFERROR(CONCATENATE((INDEX($A$7:$A$165,SMALL(IF($N$7:$N$165&lt;&gt;"",IF($K$7:$K$165&lt;&gt;"",ROW($K$7:$K$165)-MIN(ROW($K$7:$K$165))+1,""),""),ROW()-ROW(A$167)+1))),),"")</f>
        <v/>
      </c>
      <c r="Q178" s="0" t="str">
        <f aca="false">IFERROR(CONCATENATE((INDEX($T$7:$T$165,SMALL(IF($T$7:$T$165&lt;&gt;"",IF($Q$7:$Q$165&lt;&gt;"",ROW($Q$7:$Q$165)-MIN(ROW($Q$7:$Q$165))+1,""),""),ROW()-ROW(A$167)+1)))," "),"")</f>
        <v/>
      </c>
      <c r="R178" s="0" t="str">
        <f aca="false">IFERROR(CONCATENATE(TEXT(INDEX($Q$7:$Q$165,SMALL(IF($T$7:$T$165&lt;&gt;"",IF($Q$7:$Q$165&lt;&gt;"",ROW($Q$7:$Q$165)-MIN(ROW($Q$7:$Q$165))+1,""),""),ROW()-ROW(A$167)+1)),"##0")," "),"")</f>
        <v/>
      </c>
      <c r="S178" s="0" t="str">
        <f aca="false">IFERROR(CONCATENATE((INDEX($A$7:$A$165,SMALL(IF($T$7:$T$165&lt;&gt;"",IF($Q$7:$Q$165&lt;&gt;"",ROW($Q$7:$Q$165)-MIN(ROW($Q$7:$Q$165))+1,""),""),ROW()-ROW(A$167)+1))),),"")</f>
        <v/>
      </c>
      <c r="W178" s="0" t="str">
        <f aca="false">IFERROR(CONCATENATE((INDEX($Z$7:$Z$165,SMALL(IF($Z$7:$Z$165&lt;&gt;"",IF($W$7:$W$165&lt;&gt;"",ROW($W$7:$W$165)-MIN(ROW($W$7:$W$165))+1,""),""),ROW()-ROW(A$167)+1))),","),"")</f>
        <v/>
      </c>
      <c r="X178" s="0" t="str">
        <f aca="false">IFERROR(CONCATENATE(TEXT(INDEX($W$7:$W$165,SMALL(IF($Z$7:$Z$165&lt;&gt;"",IF($W$7:$W$165&lt;&gt;"",ROW($W$7:$W$165)-MIN(ROW($W$7:$W$165))+1,""),""),ROW()-ROW(A$167)+1)),"##0"),","),"")</f>
        <v/>
      </c>
      <c r="Y178" s="0" t="str">
        <f aca="false">IFERROR(CONCATENATE((INDEX($A$7:$A$165,SMALL(IF($Z$7:$Z$165&lt;&gt;"",IF($W$7:$W$165&lt;&gt;"",ROW($W$7:$W$165)-MIN(ROW($W$7:$W$165))+1,""),""),ROW()-ROW(A$167)+1))),),"")</f>
        <v/>
      </c>
    </row>
    <row r="179" customFormat="false" ht="13.8" hidden="false" customHeight="false" outlineLevel="0" collapsed="false">
      <c r="K179" s="0" t="str">
        <f aca="false">IFERROR(CONCATENATE(TEXT(INDEX($K$7:$K$165,SMALL(IF($N$7:$N$165&lt;&gt;"",IF($K$7:$K$165&lt;&gt;"",ROW($K$7:$K$165)-MIN(ROW($K$7:$K$165))+1,""),""),ROW()-ROW(A$167)+1)),"##0"),","),"")</f>
        <v/>
      </c>
      <c r="L179" s="0" t="str">
        <f aca="false">IFERROR(CONCATENATE((INDEX($N$7:$N$165,SMALL(IF($N$7:$N$165&lt;&gt;"",IF($K$7:$K$165&lt;&gt;"",ROW($K$7:$K$165)-MIN(ROW($K$7:$K$165))+1,""),""),ROW()-ROW(A$167)+1))),","),"")</f>
        <v/>
      </c>
      <c r="M179" s="0" t="str">
        <f aca="false">IFERROR(CONCATENATE((INDEX($A$7:$A$165,SMALL(IF($N$7:$N$165&lt;&gt;"",IF($K$7:$K$165&lt;&gt;"",ROW($K$7:$K$165)-MIN(ROW($K$7:$K$165))+1,""),""),ROW()-ROW(A$167)+1))),),"")</f>
        <v/>
      </c>
      <c r="Q179" s="0" t="str">
        <f aca="false">IFERROR(CONCATENATE((INDEX($T$7:$T$165,SMALL(IF($T$7:$T$165&lt;&gt;"",IF($Q$7:$Q$165&lt;&gt;"",ROW($Q$7:$Q$165)-MIN(ROW($Q$7:$Q$165))+1,""),""),ROW()-ROW(A$167)+1)))," "),"")</f>
        <v/>
      </c>
      <c r="R179" s="0" t="str">
        <f aca="false">IFERROR(CONCATENATE(TEXT(INDEX($Q$7:$Q$165,SMALL(IF($T$7:$T$165&lt;&gt;"",IF($Q$7:$Q$165&lt;&gt;"",ROW($Q$7:$Q$165)-MIN(ROW($Q$7:$Q$165))+1,""),""),ROW()-ROW(A$167)+1)),"##0")," "),"")</f>
        <v/>
      </c>
      <c r="S179" s="0" t="str">
        <f aca="false">IFERROR(CONCATENATE((INDEX($A$7:$A$165,SMALL(IF($T$7:$T$165&lt;&gt;"",IF($Q$7:$Q$165&lt;&gt;"",ROW($Q$7:$Q$165)-MIN(ROW($Q$7:$Q$165))+1,""),""),ROW()-ROW(A$167)+1))),),"")</f>
        <v/>
      </c>
      <c r="W179" s="0" t="str">
        <f aca="false">IFERROR(CONCATENATE((INDEX($Z$7:$Z$165,SMALL(IF($Z$7:$Z$165&lt;&gt;"",IF($W$7:$W$165&lt;&gt;"",ROW($W$7:$W$165)-MIN(ROW($W$7:$W$165))+1,""),""),ROW()-ROW(A$167)+1))),","),"")</f>
        <v/>
      </c>
      <c r="X179" s="0" t="str">
        <f aca="false">IFERROR(CONCATENATE(TEXT(INDEX($W$7:$W$165,SMALL(IF($Z$7:$Z$165&lt;&gt;"",IF($W$7:$W$165&lt;&gt;"",ROW($W$7:$W$165)-MIN(ROW($W$7:$W$165))+1,""),""),ROW()-ROW(A$167)+1)),"##0"),","),"")</f>
        <v/>
      </c>
      <c r="Y179" s="0" t="str">
        <f aca="false">IFERROR(CONCATENATE((INDEX($A$7:$A$165,SMALL(IF($Z$7:$Z$165&lt;&gt;"",IF($W$7:$W$165&lt;&gt;"",ROW($W$7:$W$165)-MIN(ROW($W$7:$W$165))+1,""),""),ROW()-ROW(A$167)+1))),),"")</f>
        <v/>
      </c>
    </row>
    <row r="180" customFormat="false" ht="13.8" hidden="false" customHeight="false" outlineLevel="0" collapsed="false">
      <c r="K180" s="0" t="str">
        <f aca="false">IFERROR(CONCATENATE(TEXT(INDEX($K$7:$K$165,SMALL(IF($N$7:$N$165&lt;&gt;"",IF($K$7:$K$165&lt;&gt;"",ROW($K$7:$K$165)-MIN(ROW($K$7:$K$165))+1,""),""),ROW()-ROW(A$167)+1)),"##0"),","),"")</f>
        <v/>
      </c>
      <c r="L180" s="0" t="str">
        <f aca="false">IFERROR(CONCATENATE((INDEX($N$7:$N$165,SMALL(IF($N$7:$N$165&lt;&gt;"",IF($K$7:$K$165&lt;&gt;"",ROW($K$7:$K$165)-MIN(ROW($K$7:$K$165))+1,""),""),ROW()-ROW(A$167)+1))),","),"")</f>
        <v/>
      </c>
      <c r="M180" s="0" t="str">
        <f aca="false">IFERROR(CONCATENATE((INDEX($A$7:$A$165,SMALL(IF($N$7:$N$165&lt;&gt;"",IF($K$7:$K$165&lt;&gt;"",ROW($K$7:$K$165)-MIN(ROW($K$7:$K$165))+1,""),""),ROW()-ROW(A$167)+1))),),"")</f>
        <v/>
      </c>
      <c r="Q180" s="0" t="str">
        <f aca="false">IFERROR(CONCATENATE((INDEX($T$7:$T$165,SMALL(IF($T$7:$T$165&lt;&gt;"",IF($Q$7:$Q$165&lt;&gt;"",ROW($Q$7:$Q$165)-MIN(ROW($Q$7:$Q$165))+1,""),""),ROW()-ROW(A$167)+1)))," "),"")</f>
        <v/>
      </c>
      <c r="R180" s="0" t="str">
        <f aca="false">IFERROR(CONCATENATE(TEXT(INDEX($Q$7:$Q$165,SMALL(IF($T$7:$T$165&lt;&gt;"",IF($Q$7:$Q$165&lt;&gt;"",ROW($Q$7:$Q$165)-MIN(ROW($Q$7:$Q$165))+1,""),""),ROW()-ROW(A$167)+1)),"##0")," "),"")</f>
        <v/>
      </c>
      <c r="S180" s="0" t="str">
        <f aca="false">IFERROR(CONCATENATE((INDEX($A$7:$A$165,SMALL(IF($T$7:$T$165&lt;&gt;"",IF($Q$7:$Q$165&lt;&gt;"",ROW($Q$7:$Q$165)-MIN(ROW($Q$7:$Q$165))+1,""),""),ROW()-ROW(A$167)+1))),),"")</f>
        <v/>
      </c>
      <c r="W180" s="0" t="str">
        <f aca="false">IFERROR(CONCATENATE((INDEX($Z$7:$Z$165,SMALL(IF($Z$7:$Z$165&lt;&gt;"",IF($W$7:$W$165&lt;&gt;"",ROW($W$7:$W$165)-MIN(ROW($W$7:$W$165))+1,""),""),ROW()-ROW(A$167)+1))),","),"")</f>
        <v/>
      </c>
      <c r="X180" s="0" t="str">
        <f aca="false">IFERROR(CONCATENATE(TEXT(INDEX($W$7:$W$165,SMALL(IF($Z$7:$Z$165&lt;&gt;"",IF($W$7:$W$165&lt;&gt;"",ROW($W$7:$W$165)-MIN(ROW($W$7:$W$165))+1,""),""),ROW()-ROW(A$167)+1)),"##0"),","),"")</f>
        <v/>
      </c>
      <c r="Y180" s="0" t="str">
        <f aca="false">IFERROR(CONCATENATE((INDEX($A$7:$A$165,SMALL(IF($Z$7:$Z$165&lt;&gt;"",IF($W$7:$W$165&lt;&gt;"",ROW($W$7:$W$165)-MIN(ROW($W$7:$W$165))+1,""),""),ROW()-ROW(A$167)+1))),),"")</f>
        <v/>
      </c>
    </row>
    <row r="181" customFormat="false" ht="13.8" hidden="false" customHeight="false" outlineLevel="0" collapsed="false">
      <c r="K181" s="0" t="str">
        <f aca="false">IFERROR(CONCATENATE(TEXT(INDEX($K$7:$K$165,SMALL(IF($N$7:$N$165&lt;&gt;"",IF($K$7:$K$165&lt;&gt;"",ROW($K$7:$K$165)-MIN(ROW($K$7:$K$165))+1,""),""),ROW()-ROW(A$167)+1)),"##0"),","),"")</f>
        <v/>
      </c>
      <c r="L181" s="0" t="str">
        <f aca="false">IFERROR(CONCATENATE((INDEX($N$7:$N$165,SMALL(IF($N$7:$N$165&lt;&gt;"",IF($K$7:$K$165&lt;&gt;"",ROW($K$7:$K$165)-MIN(ROW($K$7:$K$165))+1,""),""),ROW()-ROW(A$167)+1))),","),"")</f>
        <v/>
      </c>
      <c r="M181" s="0" t="str">
        <f aca="false">IFERROR(CONCATENATE((INDEX($A$7:$A$165,SMALL(IF($N$7:$N$165&lt;&gt;"",IF($K$7:$K$165&lt;&gt;"",ROW($K$7:$K$165)-MIN(ROW($K$7:$K$165))+1,""),""),ROW()-ROW(A$167)+1))),),"")</f>
        <v/>
      </c>
      <c r="Q181" s="0" t="str">
        <f aca="false">IFERROR(CONCATENATE((INDEX($T$7:$T$165,SMALL(IF($T$7:$T$165&lt;&gt;"",IF($Q$7:$Q$165&lt;&gt;"",ROW($Q$7:$Q$165)-MIN(ROW($Q$7:$Q$165))+1,""),""),ROW()-ROW(A$167)+1)))," "),"")</f>
        <v/>
      </c>
      <c r="R181" s="0" t="str">
        <f aca="false">IFERROR(CONCATENATE(TEXT(INDEX($Q$7:$Q$165,SMALL(IF($T$7:$T$165&lt;&gt;"",IF($Q$7:$Q$165&lt;&gt;"",ROW($Q$7:$Q$165)-MIN(ROW($Q$7:$Q$165))+1,""),""),ROW()-ROW(A$167)+1)),"##0")," "),"")</f>
        <v/>
      </c>
      <c r="S181" s="0" t="str">
        <f aca="false">IFERROR(CONCATENATE((INDEX($A$7:$A$165,SMALL(IF($T$7:$T$165&lt;&gt;"",IF($Q$7:$Q$165&lt;&gt;"",ROW($Q$7:$Q$165)-MIN(ROW($Q$7:$Q$165))+1,""),""),ROW()-ROW(A$167)+1))),),"")</f>
        <v/>
      </c>
      <c r="W181" s="0" t="str">
        <f aca="false">IFERROR(CONCATENATE((INDEX($Z$7:$Z$165,SMALL(IF($Z$7:$Z$165&lt;&gt;"",IF($W$7:$W$165&lt;&gt;"",ROW($W$7:$W$165)-MIN(ROW($W$7:$W$165))+1,""),""),ROW()-ROW(A$167)+1))),","),"")</f>
        <v/>
      </c>
      <c r="X181" s="0" t="str">
        <f aca="false">IFERROR(CONCATENATE(TEXT(INDEX($W$7:$W$165,SMALL(IF($Z$7:$Z$165&lt;&gt;"",IF($W$7:$W$165&lt;&gt;"",ROW($W$7:$W$165)-MIN(ROW($W$7:$W$165))+1,""),""),ROW()-ROW(A$167)+1)),"##0"),","),"")</f>
        <v/>
      </c>
      <c r="Y181" s="0" t="str">
        <f aca="false">IFERROR(CONCATENATE((INDEX($A$7:$A$165,SMALL(IF($Z$7:$Z$165&lt;&gt;"",IF($W$7:$W$165&lt;&gt;"",ROW($W$7:$W$165)-MIN(ROW($W$7:$W$165))+1,""),""),ROW()-ROW(A$167)+1))),),"")</f>
        <v/>
      </c>
    </row>
    <row r="182" customFormat="false" ht="13.8" hidden="false" customHeight="false" outlineLevel="0" collapsed="false">
      <c r="K182" s="0" t="str">
        <f aca="false">IFERROR(CONCATENATE(TEXT(INDEX($K$7:$K$165,SMALL(IF($N$7:$N$165&lt;&gt;"",IF($K$7:$K$165&lt;&gt;"",ROW($K$7:$K$165)-MIN(ROW($K$7:$K$165))+1,""),""),ROW()-ROW(A$167)+1)),"##0"),","),"")</f>
        <v/>
      </c>
      <c r="L182" s="0" t="str">
        <f aca="false">IFERROR(CONCATENATE((INDEX($N$7:$N$165,SMALL(IF($N$7:$N$165&lt;&gt;"",IF($K$7:$K$165&lt;&gt;"",ROW($K$7:$K$165)-MIN(ROW($K$7:$K$165))+1,""),""),ROW()-ROW(A$167)+1))),","),"")</f>
        <v/>
      </c>
      <c r="M182" s="0" t="str">
        <f aca="false">IFERROR(CONCATENATE((INDEX($A$7:$A$165,SMALL(IF($N$7:$N$165&lt;&gt;"",IF($K$7:$K$165&lt;&gt;"",ROW($K$7:$K$165)-MIN(ROW($K$7:$K$165))+1,""),""),ROW()-ROW(A$167)+1))),),"")</f>
        <v/>
      </c>
      <c r="Q182" s="0" t="str">
        <f aca="false">IFERROR(CONCATENATE((INDEX($T$7:$T$165,SMALL(IF($T$7:$T$165&lt;&gt;"",IF($Q$7:$Q$165&lt;&gt;"",ROW($Q$7:$Q$165)-MIN(ROW($Q$7:$Q$165))+1,""),""),ROW()-ROW(A$167)+1)))," "),"")</f>
        <v/>
      </c>
      <c r="R182" s="0" t="str">
        <f aca="false">IFERROR(CONCATENATE(TEXT(INDEX($Q$7:$Q$165,SMALL(IF($T$7:$T$165&lt;&gt;"",IF($Q$7:$Q$165&lt;&gt;"",ROW($Q$7:$Q$165)-MIN(ROW($Q$7:$Q$165))+1,""),""),ROW()-ROW(A$167)+1)),"##0")," "),"")</f>
        <v/>
      </c>
      <c r="S182" s="0" t="str">
        <f aca="false">IFERROR(CONCATENATE((INDEX($A$7:$A$165,SMALL(IF($T$7:$T$165&lt;&gt;"",IF($Q$7:$Q$165&lt;&gt;"",ROW($Q$7:$Q$165)-MIN(ROW($Q$7:$Q$165))+1,""),""),ROW()-ROW(A$167)+1))),),"")</f>
        <v/>
      </c>
      <c r="W182" s="0" t="str">
        <f aca="false">IFERROR(CONCATENATE((INDEX($Z$7:$Z$165,SMALL(IF($Z$7:$Z$165&lt;&gt;"",IF($W$7:$W$165&lt;&gt;"",ROW($W$7:$W$165)-MIN(ROW($W$7:$W$165))+1,""),""),ROW()-ROW(A$167)+1))),","),"")</f>
        <v/>
      </c>
      <c r="X182" s="0" t="str">
        <f aca="false">IFERROR(CONCATENATE(TEXT(INDEX($W$7:$W$165,SMALL(IF($Z$7:$Z$165&lt;&gt;"",IF($W$7:$W$165&lt;&gt;"",ROW($W$7:$W$165)-MIN(ROW($W$7:$W$165))+1,""),""),ROW()-ROW(A$167)+1)),"##0"),","),"")</f>
        <v/>
      </c>
      <c r="Y182" s="0" t="str">
        <f aca="false">IFERROR(CONCATENATE((INDEX($A$7:$A$165,SMALL(IF($Z$7:$Z$165&lt;&gt;"",IF($W$7:$W$165&lt;&gt;"",ROW($W$7:$W$165)-MIN(ROW($W$7:$W$165))+1,""),""),ROW()-ROW(A$167)+1))),),"")</f>
        <v/>
      </c>
    </row>
    <row r="183" customFormat="false" ht="13.8" hidden="false" customHeight="false" outlineLevel="0" collapsed="false">
      <c r="K183" s="0" t="str">
        <f aca="false">IFERROR(CONCATENATE(TEXT(INDEX($K$7:$K$165,SMALL(IF($N$7:$N$165&lt;&gt;"",IF($K$7:$K$165&lt;&gt;"",ROW($K$7:$K$165)-MIN(ROW($K$7:$K$165))+1,""),""),ROW()-ROW(A$167)+1)),"##0"),","),"")</f>
        <v/>
      </c>
      <c r="L183" s="0" t="str">
        <f aca="false">IFERROR(CONCATENATE((INDEX($N$7:$N$165,SMALL(IF($N$7:$N$165&lt;&gt;"",IF($K$7:$K$165&lt;&gt;"",ROW($K$7:$K$165)-MIN(ROW($K$7:$K$165))+1,""),""),ROW()-ROW(A$167)+1))),","),"")</f>
        <v/>
      </c>
      <c r="M183" s="0" t="str">
        <f aca="false">IFERROR(CONCATENATE((INDEX($A$7:$A$165,SMALL(IF($N$7:$N$165&lt;&gt;"",IF($K$7:$K$165&lt;&gt;"",ROW($K$7:$K$165)-MIN(ROW($K$7:$K$165))+1,""),""),ROW()-ROW(A$167)+1))),),"")</f>
        <v/>
      </c>
      <c r="Q183" s="0" t="str">
        <f aca="false">IFERROR(CONCATENATE((INDEX($T$7:$T$165,SMALL(IF($T$7:$T$165&lt;&gt;"",IF($Q$7:$Q$165&lt;&gt;"",ROW($Q$7:$Q$165)-MIN(ROW($Q$7:$Q$165))+1,""),""),ROW()-ROW(A$167)+1)))," "),"")</f>
        <v/>
      </c>
      <c r="R183" s="0" t="str">
        <f aca="false">IFERROR(CONCATENATE(TEXT(INDEX($Q$7:$Q$165,SMALL(IF($T$7:$T$165&lt;&gt;"",IF($Q$7:$Q$165&lt;&gt;"",ROW($Q$7:$Q$165)-MIN(ROW($Q$7:$Q$165))+1,""),""),ROW()-ROW(A$167)+1)),"##0")," "),"")</f>
        <v/>
      </c>
      <c r="S183" s="0" t="str">
        <f aca="false">IFERROR(CONCATENATE((INDEX($A$7:$A$165,SMALL(IF($T$7:$T$165&lt;&gt;"",IF($Q$7:$Q$165&lt;&gt;"",ROW($Q$7:$Q$165)-MIN(ROW($Q$7:$Q$165))+1,""),""),ROW()-ROW(A$167)+1))),),"")</f>
        <v/>
      </c>
      <c r="W183" s="0" t="str">
        <f aca="false">IFERROR(CONCATENATE((INDEX($Z$7:$Z$165,SMALL(IF($Z$7:$Z$165&lt;&gt;"",IF($W$7:$W$165&lt;&gt;"",ROW($W$7:$W$165)-MIN(ROW($W$7:$W$165))+1,""),""),ROW()-ROW(A$167)+1))),","),"")</f>
        <v/>
      </c>
      <c r="X183" s="0" t="str">
        <f aca="false">IFERROR(CONCATENATE(TEXT(INDEX($W$7:$W$165,SMALL(IF($Z$7:$Z$165&lt;&gt;"",IF($W$7:$W$165&lt;&gt;"",ROW($W$7:$W$165)-MIN(ROW($W$7:$W$165))+1,""),""),ROW()-ROW(A$167)+1)),"##0"),","),"")</f>
        <v/>
      </c>
      <c r="Y183" s="0" t="str">
        <f aca="false">IFERROR(CONCATENATE((INDEX($A$7:$A$165,SMALL(IF($Z$7:$Z$165&lt;&gt;"",IF($W$7:$W$165&lt;&gt;"",ROW($W$7:$W$165)-MIN(ROW($W$7:$W$165))+1,""),""),ROW()-ROW(A$167)+1))),),"")</f>
        <v/>
      </c>
    </row>
    <row r="184" customFormat="false" ht="13.8" hidden="false" customHeight="false" outlineLevel="0" collapsed="false">
      <c r="K184" s="0" t="str">
        <f aca="false">IFERROR(CONCATENATE(TEXT(INDEX($K$7:$K$165,SMALL(IF($N$7:$N$165&lt;&gt;"",IF($K$7:$K$165&lt;&gt;"",ROW($K$7:$K$165)-MIN(ROW($K$7:$K$165))+1,""),""),ROW()-ROW(A$167)+1)),"##0"),","),"")</f>
        <v/>
      </c>
      <c r="L184" s="0" t="str">
        <f aca="false">IFERROR(CONCATENATE((INDEX($N$7:$N$165,SMALL(IF($N$7:$N$165&lt;&gt;"",IF($K$7:$K$165&lt;&gt;"",ROW($K$7:$K$165)-MIN(ROW($K$7:$K$165))+1,""),""),ROW()-ROW(A$167)+1))),","),"")</f>
        <v/>
      </c>
      <c r="M184" s="0" t="str">
        <f aca="false">IFERROR(CONCATENATE((INDEX($A$7:$A$165,SMALL(IF($N$7:$N$165&lt;&gt;"",IF($K$7:$K$165&lt;&gt;"",ROW($K$7:$K$165)-MIN(ROW($K$7:$K$165))+1,""),""),ROW()-ROW(A$167)+1))),),"")</f>
        <v/>
      </c>
      <c r="Q184" s="0" t="str">
        <f aca="false">IFERROR(CONCATENATE((INDEX($T$7:$T$165,SMALL(IF($T$7:$T$165&lt;&gt;"",IF($Q$7:$Q$165&lt;&gt;"",ROW($Q$7:$Q$165)-MIN(ROW($Q$7:$Q$165))+1,""),""),ROW()-ROW(A$167)+1)))," "),"")</f>
        <v/>
      </c>
      <c r="R184" s="0" t="str">
        <f aca="false">IFERROR(CONCATENATE(TEXT(INDEX($Q$7:$Q$165,SMALL(IF($T$7:$T$165&lt;&gt;"",IF($Q$7:$Q$165&lt;&gt;"",ROW($Q$7:$Q$165)-MIN(ROW($Q$7:$Q$165))+1,""),""),ROW()-ROW(A$167)+1)),"##0")," "),"")</f>
        <v/>
      </c>
      <c r="S184" s="0" t="str">
        <f aca="false">IFERROR(CONCATENATE((INDEX($A$7:$A$165,SMALL(IF($T$7:$T$165&lt;&gt;"",IF($Q$7:$Q$165&lt;&gt;"",ROW($Q$7:$Q$165)-MIN(ROW($Q$7:$Q$165))+1,""),""),ROW()-ROW(A$167)+1))),),"")</f>
        <v/>
      </c>
      <c r="W184" s="0" t="str">
        <f aca="false">IFERROR(CONCATENATE((INDEX($Z$7:$Z$165,SMALL(IF($Z$7:$Z$165&lt;&gt;"",IF($W$7:$W$165&lt;&gt;"",ROW($W$7:$W$165)-MIN(ROW($W$7:$W$165))+1,""),""),ROW()-ROW(A$167)+1))),","),"")</f>
        <v/>
      </c>
      <c r="X184" s="0" t="str">
        <f aca="false">IFERROR(CONCATENATE(TEXT(INDEX($W$7:$W$165,SMALL(IF($Z$7:$Z$165&lt;&gt;"",IF($W$7:$W$165&lt;&gt;"",ROW($W$7:$W$165)-MIN(ROW($W$7:$W$165))+1,""),""),ROW()-ROW(A$167)+1)),"##0"),","),"")</f>
        <v/>
      </c>
      <c r="Y184" s="0" t="str">
        <f aca="false">IFERROR(CONCATENATE((INDEX($A$7:$A$165,SMALL(IF($Z$7:$Z$165&lt;&gt;"",IF($W$7:$W$165&lt;&gt;"",ROW($W$7:$W$165)-MIN(ROW($W$7:$W$165))+1,""),""),ROW()-ROW(A$167)+1))),),"")</f>
        <v/>
      </c>
    </row>
    <row r="185" customFormat="false" ht="13.8" hidden="false" customHeight="false" outlineLevel="0" collapsed="false">
      <c r="K185" s="0" t="str">
        <f aca="false">IFERROR(CONCATENATE(TEXT(INDEX($K$7:$K$165,SMALL(IF($N$7:$N$165&lt;&gt;"",IF($K$7:$K$165&lt;&gt;"",ROW($K$7:$K$165)-MIN(ROW($K$7:$K$165))+1,""),""),ROW()-ROW(A$167)+1)),"##0"),","),"")</f>
        <v/>
      </c>
      <c r="L185" s="0" t="str">
        <f aca="false">IFERROR(CONCATENATE((INDEX($N$7:$N$165,SMALL(IF($N$7:$N$165&lt;&gt;"",IF($K$7:$K$165&lt;&gt;"",ROW($K$7:$K$165)-MIN(ROW($K$7:$K$165))+1,""),""),ROW()-ROW(A$167)+1))),","),"")</f>
        <v/>
      </c>
      <c r="M185" s="0" t="str">
        <f aca="false">IFERROR(CONCATENATE((INDEX($A$7:$A$165,SMALL(IF($N$7:$N$165&lt;&gt;"",IF($K$7:$K$165&lt;&gt;"",ROW($K$7:$K$165)-MIN(ROW($K$7:$K$165))+1,""),""),ROW()-ROW(A$167)+1))),),"")</f>
        <v/>
      </c>
      <c r="Q185" s="0" t="str">
        <f aca="false">IFERROR(CONCATENATE((INDEX($T$7:$T$165,SMALL(IF($T$7:$T$165&lt;&gt;"",IF($Q$7:$Q$165&lt;&gt;"",ROW($Q$7:$Q$165)-MIN(ROW($Q$7:$Q$165))+1,""),""),ROW()-ROW(A$167)+1)))," "),"")</f>
        <v/>
      </c>
      <c r="R185" s="0" t="str">
        <f aca="false">IFERROR(CONCATENATE(TEXT(INDEX($Q$7:$Q$165,SMALL(IF($T$7:$T$165&lt;&gt;"",IF($Q$7:$Q$165&lt;&gt;"",ROW($Q$7:$Q$165)-MIN(ROW($Q$7:$Q$165))+1,""),""),ROW()-ROW(A$167)+1)),"##0")," "),"")</f>
        <v/>
      </c>
      <c r="S185" s="0" t="str">
        <f aca="false">IFERROR(CONCATENATE((INDEX($A$7:$A$165,SMALL(IF($T$7:$T$165&lt;&gt;"",IF($Q$7:$Q$165&lt;&gt;"",ROW($Q$7:$Q$165)-MIN(ROW($Q$7:$Q$165))+1,""),""),ROW()-ROW(A$167)+1))),),"")</f>
        <v/>
      </c>
      <c r="W185" s="0" t="str">
        <f aca="false">IFERROR(CONCATENATE((INDEX($Z$7:$Z$165,SMALL(IF($Z$7:$Z$165&lt;&gt;"",IF($W$7:$W$165&lt;&gt;"",ROW($W$7:$W$165)-MIN(ROW($W$7:$W$165))+1,""),""),ROW()-ROW(A$167)+1))),","),"")</f>
        <v/>
      </c>
      <c r="X185" s="0" t="str">
        <f aca="false">IFERROR(CONCATENATE(TEXT(INDEX($W$7:$W$165,SMALL(IF($Z$7:$Z$165&lt;&gt;"",IF($W$7:$W$165&lt;&gt;"",ROW($W$7:$W$165)-MIN(ROW($W$7:$W$165))+1,""),""),ROW()-ROW(A$167)+1)),"##0"),","),"")</f>
        <v/>
      </c>
      <c r="Y185" s="0" t="str">
        <f aca="false">IFERROR(CONCATENATE((INDEX($A$7:$A$165,SMALL(IF($Z$7:$Z$165&lt;&gt;"",IF($W$7:$W$165&lt;&gt;"",ROW($W$7:$W$165)-MIN(ROW($W$7:$W$165))+1,""),""),ROW()-ROW(A$167)+1))),),"")</f>
        <v/>
      </c>
    </row>
    <row r="186" customFormat="false" ht="13.8" hidden="false" customHeight="false" outlineLevel="0" collapsed="false">
      <c r="K186" s="0" t="str">
        <f aca="false">IFERROR(CONCATENATE(TEXT(INDEX($K$7:$K$165,SMALL(IF($N$7:$N$165&lt;&gt;"",IF($K$7:$K$165&lt;&gt;"",ROW($K$7:$K$165)-MIN(ROW($K$7:$K$165))+1,""),""),ROW()-ROW(A$167)+1)),"##0"),","),"")</f>
        <v/>
      </c>
      <c r="L186" s="0" t="str">
        <f aca="false">IFERROR(CONCATENATE((INDEX($N$7:$N$165,SMALL(IF($N$7:$N$165&lt;&gt;"",IF($K$7:$K$165&lt;&gt;"",ROW($K$7:$K$165)-MIN(ROW($K$7:$K$165))+1,""),""),ROW()-ROW(A$167)+1))),","),"")</f>
        <v/>
      </c>
      <c r="M186" s="0" t="str">
        <f aca="false">IFERROR(CONCATENATE((INDEX($A$7:$A$165,SMALL(IF($N$7:$N$165&lt;&gt;"",IF($K$7:$K$165&lt;&gt;"",ROW($K$7:$K$165)-MIN(ROW($K$7:$K$165))+1,""),""),ROW()-ROW(A$167)+1))),),"")</f>
        <v/>
      </c>
      <c r="Q186" s="0" t="str">
        <f aca="false">IFERROR(CONCATENATE((INDEX($T$7:$T$165,SMALL(IF($T$7:$T$165&lt;&gt;"",IF($Q$7:$Q$165&lt;&gt;"",ROW($Q$7:$Q$165)-MIN(ROW($Q$7:$Q$165))+1,""),""),ROW()-ROW(A$167)+1)))," "),"")</f>
        <v/>
      </c>
      <c r="R186" s="0" t="str">
        <f aca="false">IFERROR(CONCATENATE(TEXT(INDEX($Q$7:$Q$165,SMALL(IF($T$7:$T$165&lt;&gt;"",IF($Q$7:$Q$165&lt;&gt;"",ROW($Q$7:$Q$165)-MIN(ROW($Q$7:$Q$165))+1,""),""),ROW()-ROW(A$167)+1)),"##0")," "),"")</f>
        <v/>
      </c>
      <c r="S186" s="0" t="str">
        <f aca="false">IFERROR(CONCATENATE((INDEX($A$7:$A$165,SMALL(IF($T$7:$T$165&lt;&gt;"",IF($Q$7:$Q$165&lt;&gt;"",ROW($Q$7:$Q$165)-MIN(ROW($Q$7:$Q$165))+1,""),""),ROW()-ROW(A$167)+1))),),"")</f>
        <v/>
      </c>
      <c r="W186" s="0" t="str">
        <f aca="false">IFERROR(CONCATENATE((INDEX($Z$7:$Z$165,SMALL(IF($Z$7:$Z$165&lt;&gt;"",IF($W$7:$W$165&lt;&gt;"",ROW($W$7:$W$165)-MIN(ROW($W$7:$W$165))+1,""),""),ROW()-ROW(A$167)+1))),","),"")</f>
        <v/>
      </c>
      <c r="X186" s="0" t="str">
        <f aca="false">IFERROR(CONCATENATE(TEXT(INDEX($W$7:$W$165,SMALL(IF($Z$7:$Z$165&lt;&gt;"",IF($W$7:$W$165&lt;&gt;"",ROW($W$7:$W$165)-MIN(ROW($W$7:$W$165))+1,""),""),ROW()-ROW(A$167)+1)),"##0"),","),"")</f>
        <v/>
      </c>
      <c r="Y186" s="0" t="str">
        <f aca="false">IFERROR(CONCATENATE((INDEX($A$7:$A$165,SMALL(IF($Z$7:$Z$165&lt;&gt;"",IF($W$7:$W$165&lt;&gt;"",ROW($W$7:$W$165)-MIN(ROW($W$7:$W$165))+1,""),""),ROW()-ROW(A$167)+1))),),"")</f>
        <v/>
      </c>
    </row>
    <row r="187" customFormat="false" ht="13.8" hidden="false" customHeight="false" outlineLevel="0" collapsed="false">
      <c r="K187" s="0" t="str">
        <f aca="false">IFERROR(CONCATENATE(TEXT(INDEX($K$7:$K$165,SMALL(IF($N$7:$N$165&lt;&gt;"",IF($K$7:$K$165&lt;&gt;"",ROW($K$7:$K$165)-MIN(ROW($K$7:$K$165))+1,""),""),ROW()-ROW(A$167)+1)),"##0"),","),"")</f>
        <v/>
      </c>
      <c r="L187" s="0" t="str">
        <f aca="false">IFERROR(CONCATENATE((INDEX($N$7:$N$165,SMALL(IF($N$7:$N$165&lt;&gt;"",IF($K$7:$K$165&lt;&gt;"",ROW($K$7:$K$165)-MIN(ROW($K$7:$K$165))+1,""),""),ROW()-ROW(A$167)+1))),","),"")</f>
        <v/>
      </c>
      <c r="M187" s="0" t="str">
        <f aca="false">IFERROR(CONCATENATE((INDEX($A$7:$A$165,SMALL(IF($N$7:$N$165&lt;&gt;"",IF($K$7:$K$165&lt;&gt;"",ROW($K$7:$K$165)-MIN(ROW($K$7:$K$165))+1,""),""),ROW()-ROW(A$167)+1))),),"")</f>
        <v/>
      </c>
      <c r="Q187" s="0" t="str">
        <f aca="false">IFERROR(CONCATENATE((INDEX($T$7:$T$165,SMALL(IF($T$7:$T$165&lt;&gt;"",IF($Q$7:$Q$165&lt;&gt;"",ROW($Q$7:$Q$165)-MIN(ROW($Q$7:$Q$165))+1,""),""),ROW()-ROW(A$167)+1)))," "),"")</f>
        <v/>
      </c>
      <c r="R187" s="0" t="str">
        <f aca="false">IFERROR(CONCATENATE(TEXT(INDEX($Q$7:$Q$165,SMALL(IF($T$7:$T$165&lt;&gt;"",IF($Q$7:$Q$165&lt;&gt;"",ROW($Q$7:$Q$165)-MIN(ROW($Q$7:$Q$165))+1,""),""),ROW()-ROW(A$167)+1)),"##0")," "),"")</f>
        <v/>
      </c>
      <c r="S187" s="0" t="str">
        <f aca="false">IFERROR(CONCATENATE((INDEX($A$7:$A$165,SMALL(IF($T$7:$T$165&lt;&gt;"",IF($Q$7:$Q$165&lt;&gt;"",ROW($Q$7:$Q$165)-MIN(ROW($Q$7:$Q$165))+1,""),""),ROW()-ROW(A$167)+1))),),"")</f>
        <v/>
      </c>
      <c r="W187" s="0" t="str">
        <f aca="false">IFERROR(CONCATENATE((INDEX($Z$7:$Z$165,SMALL(IF($Z$7:$Z$165&lt;&gt;"",IF($W$7:$W$165&lt;&gt;"",ROW($W$7:$W$165)-MIN(ROW($W$7:$W$165))+1,""),""),ROW()-ROW(A$167)+1))),","),"")</f>
        <v/>
      </c>
      <c r="X187" s="0" t="str">
        <f aca="false">IFERROR(CONCATENATE(TEXT(INDEX($W$7:$W$165,SMALL(IF($Z$7:$Z$165&lt;&gt;"",IF($W$7:$W$165&lt;&gt;"",ROW($W$7:$W$165)-MIN(ROW($W$7:$W$165))+1,""),""),ROW()-ROW(A$167)+1)),"##0"),","),"")</f>
        <v/>
      </c>
      <c r="Y187" s="0" t="str">
        <f aca="false">IFERROR(CONCATENATE((INDEX($A$7:$A$165,SMALL(IF($Z$7:$Z$165&lt;&gt;"",IF($W$7:$W$165&lt;&gt;"",ROW($W$7:$W$165)-MIN(ROW($W$7:$W$165))+1,""),""),ROW()-ROW(A$167)+1))),),"")</f>
        <v/>
      </c>
    </row>
    <row r="188" customFormat="false" ht="13.8" hidden="false" customHeight="false" outlineLevel="0" collapsed="false">
      <c r="K188" s="0" t="str">
        <f aca="false">IFERROR(CONCATENATE(TEXT(INDEX($K$7:$K$165,SMALL(IF($N$7:$N$165&lt;&gt;"",IF($K$7:$K$165&lt;&gt;"",ROW($K$7:$K$165)-MIN(ROW($K$7:$K$165))+1,""),""),ROW()-ROW(A$167)+1)),"##0"),","),"")</f>
        <v/>
      </c>
      <c r="L188" s="0" t="str">
        <f aca="false">IFERROR(CONCATENATE((INDEX($N$7:$N$165,SMALL(IF($N$7:$N$165&lt;&gt;"",IF($K$7:$K$165&lt;&gt;"",ROW($K$7:$K$165)-MIN(ROW($K$7:$K$165))+1,""),""),ROW()-ROW(A$167)+1))),","),"")</f>
        <v/>
      </c>
      <c r="M188" s="0" t="str">
        <f aca="false">IFERROR(CONCATENATE((INDEX($A$7:$A$165,SMALL(IF($N$7:$N$165&lt;&gt;"",IF($K$7:$K$165&lt;&gt;"",ROW($K$7:$K$165)-MIN(ROW($K$7:$K$165))+1,""),""),ROW()-ROW(A$167)+1))),),"")</f>
        <v/>
      </c>
      <c r="Q188" s="0" t="str">
        <f aca="false">IFERROR(CONCATENATE((INDEX($T$7:$T$165,SMALL(IF($T$7:$T$165&lt;&gt;"",IF($Q$7:$Q$165&lt;&gt;"",ROW($Q$7:$Q$165)-MIN(ROW($Q$7:$Q$165))+1,""),""),ROW()-ROW(A$167)+1)))," "),"")</f>
        <v/>
      </c>
      <c r="R188" s="0" t="str">
        <f aca="false">IFERROR(CONCATENATE(TEXT(INDEX($Q$7:$Q$165,SMALL(IF($T$7:$T$165&lt;&gt;"",IF($Q$7:$Q$165&lt;&gt;"",ROW($Q$7:$Q$165)-MIN(ROW($Q$7:$Q$165))+1,""),""),ROW()-ROW(A$167)+1)),"##0")," "),"")</f>
        <v/>
      </c>
      <c r="S188" s="0" t="str">
        <f aca="false">IFERROR(CONCATENATE((INDEX($A$7:$A$165,SMALL(IF($T$7:$T$165&lt;&gt;"",IF($Q$7:$Q$165&lt;&gt;"",ROW($Q$7:$Q$165)-MIN(ROW($Q$7:$Q$165))+1,""),""),ROW()-ROW(A$167)+1))),),"")</f>
        <v/>
      </c>
      <c r="W188" s="0" t="str">
        <f aca="false">IFERROR(CONCATENATE((INDEX($Z$7:$Z$165,SMALL(IF($Z$7:$Z$165&lt;&gt;"",IF($W$7:$W$165&lt;&gt;"",ROW($W$7:$W$165)-MIN(ROW($W$7:$W$165))+1,""),""),ROW()-ROW(A$167)+1))),","),"")</f>
        <v/>
      </c>
      <c r="X188" s="0" t="str">
        <f aca="false">IFERROR(CONCATENATE(TEXT(INDEX($W$7:$W$165,SMALL(IF($Z$7:$Z$165&lt;&gt;"",IF($W$7:$W$165&lt;&gt;"",ROW($W$7:$W$165)-MIN(ROW($W$7:$W$165))+1,""),""),ROW()-ROW(A$167)+1)),"##0"),","),"")</f>
        <v/>
      </c>
      <c r="Y188" s="0" t="str">
        <f aca="false">IFERROR(CONCATENATE((INDEX($A$7:$A$165,SMALL(IF($Z$7:$Z$165&lt;&gt;"",IF($W$7:$W$165&lt;&gt;"",ROW($W$7:$W$165)-MIN(ROW($W$7:$W$165))+1,""),""),ROW()-ROW(A$167)+1))),),"")</f>
        <v/>
      </c>
    </row>
    <row r="189" customFormat="false" ht="13.8" hidden="false" customHeight="false" outlineLevel="0" collapsed="false">
      <c r="K189" s="0" t="str">
        <f aca="false">IFERROR(CONCATENATE(TEXT(INDEX($K$7:$K$165,SMALL(IF($N$7:$N$165&lt;&gt;"",IF($K$7:$K$165&lt;&gt;"",ROW($K$7:$K$165)-MIN(ROW($K$7:$K$165))+1,""),""),ROW()-ROW(A$167)+1)),"##0"),","),"")</f>
        <v/>
      </c>
      <c r="L189" s="0" t="str">
        <f aca="false">IFERROR(CONCATENATE((INDEX($N$7:$N$165,SMALL(IF($N$7:$N$165&lt;&gt;"",IF($K$7:$K$165&lt;&gt;"",ROW($K$7:$K$165)-MIN(ROW($K$7:$K$165))+1,""),""),ROW()-ROW(A$167)+1))),","),"")</f>
        <v/>
      </c>
      <c r="M189" s="0" t="str">
        <f aca="false">IFERROR(CONCATENATE((INDEX($A$7:$A$165,SMALL(IF($N$7:$N$165&lt;&gt;"",IF($K$7:$K$165&lt;&gt;"",ROW($K$7:$K$165)-MIN(ROW($K$7:$K$165))+1,""),""),ROW()-ROW(A$167)+1))),),"")</f>
        <v/>
      </c>
      <c r="Q189" s="0" t="str">
        <f aca="false">IFERROR(CONCATENATE((INDEX($T$7:$T$165,SMALL(IF($T$7:$T$165&lt;&gt;"",IF($Q$7:$Q$165&lt;&gt;"",ROW($Q$7:$Q$165)-MIN(ROW($Q$7:$Q$165))+1,""),""),ROW()-ROW(A$167)+1)))," "),"")</f>
        <v/>
      </c>
      <c r="R189" s="0" t="str">
        <f aca="false">IFERROR(CONCATENATE(TEXT(INDEX($Q$7:$Q$165,SMALL(IF($T$7:$T$165&lt;&gt;"",IF($Q$7:$Q$165&lt;&gt;"",ROW($Q$7:$Q$165)-MIN(ROW($Q$7:$Q$165))+1,""),""),ROW()-ROW(A$167)+1)),"##0")," "),"")</f>
        <v/>
      </c>
      <c r="S189" s="0" t="str">
        <f aca="false">IFERROR(CONCATENATE((INDEX($A$7:$A$165,SMALL(IF($T$7:$T$165&lt;&gt;"",IF($Q$7:$Q$165&lt;&gt;"",ROW($Q$7:$Q$165)-MIN(ROW($Q$7:$Q$165))+1,""),""),ROW()-ROW(A$167)+1))),),"")</f>
        <v/>
      </c>
      <c r="W189" s="0" t="str">
        <f aca="false">IFERROR(CONCATENATE((INDEX($Z$7:$Z$165,SMALL(IF($Z$7:$Z$165&lt;&gt;"",IF($W$7:$W$165&lt;&gt;"",ROW($W$7:$W$165)-MIN(ROW($W$7:$W$165))+1,""),""),ROW()-ROW(A$167)+1))),","),"")</f>
        <v/>
      </c>
      <c r="X189" s="0" t="str">
        <f aca="false">IFERROR(CONCATENATE(TEXT(INDEX($W$7:$W$165,SMALL(IF($Z$7:$Z$165&lt;&gt;"",IF($W$7:$W$165&lt;&gt;"",ROW($W$7:$W$165)-MIN(ROW($W$7:$W$165))+1,""),""),ROW()-ROW(A$167)+1)),"##0"),","),"")</f>
        <v/>
      </c>
      <c r="Y189" s="0" t="str">
        <f aca="false">IFERROR(CONCATENATE((INDEX($A$7:$A$165,SMALL(IF($Z$7:$Z$165&lt;&gt;"",IF($W$7:$W$165&lt;&gt;"",ROW($W$7:$W$165)-MIN(ROW($W$7:$W$165))+1,""),""),ROW()-ROW(A$167)+1))),),"")</f>
        <v/>
      </c>
    </row>
    <row r="190" customFormat="false" ht="13.8" hidden="false" customHeight="false" outlineLevel="0" collapsed="false">
      <c r="K190" s="0" t="str">
        <f aca="false">IFERROR(CONCATENATE(TEXT(INDEX($K$7:$K$165,SMALL(IF($N$7:$N$165&lt;&gt;"",IF($K$7:$K$165&lt;&gt;"",ROW($K$7:$K$165)-MIN(ROW($K$7:$K$165))+1,""),""),ROW()-ROW(A$167)+1)),"##0"),","),"")</f>
        <v/>
      </c>
      <c r="L190" s="0" t="str">
        <f aca="false">IFERROR(CONCATENATE((INDEX($N$7:$N$165,SMALL(IF($N$7:$N$165&lt;&gt;"",IF($K$7:$K$165&lt;&gt;"",ROW($K$7:$K$165)-MIN(ROW($K$7:$K$165))+1,""),""),ROW()-ROW(A$167)+1))),","),"")</f>
        <v/>
      </c>
      <c r="M190" s="0" t="str">
        <f aca="false">IFERROR(CONCATENATE((INDEX($A$7:$A$165,SMALL(IF($N$7:$N$165&lt;&gt;"",IF($K$7:$K$165&lt;&gt;"",ROW($K$7:$K$165)-MIN(ROW($K$7:$K$165))+1,""),""),ROW()-ROW(A$167)+1))),),"")</f>
        <v/>
      </c>
      <c r="Q190" s="0" t="str">
        <f aca="false">IFERROR(CONCATENATE((INDEX($T$7:$T$165,SMALL(IF($T$7:$T$165&lt;&gt;"",IF($Q$7:$Q$165&lt;&gt;"",ROW($Q$7:$Q$165)-MIN(ROW($Q$7:$Q$165))+1,""),""),ROW()-ROW(A$167)+1)))," "),"")</f>
        <v/>
      </c>
      <c r="R190" s="0" t="str">
        <f aca="false">IFERROR(CONCATENATE(TEXT(INDEX($Q$7:$Q$165,SMALL(IF($T$7:$T$165&lt;&gt;"",IF($Q$7:$Q$165&lt;&gt;"",ROW($Q$7:$Q$165)-MIN(ROW($Q$7:$Q$165))+1,""),""),ROW()-ROW(A$167)+1)),"##0")," "),"")</f>
        <v/>
      </c>
      <c r="S190" s="0" t="str">
        <f aca="false">IFERROR(CONCATENATE((INDEX($A$7:$A$165,SMALL(IF($T$7:$T$165&lt;&gt;"",IF($Q$7:$Q$165&lt;&gt;"",ROW($Q$7:$Q$165)-MIN(ROW($Q$7:$Q$165))+1,""),""),ROW()-ROW(A$167)+1))),),"")</f>
        <v/>
      </c>
      <c r="W190" s="0" t="str">
        <f aca="false">IFERROR(CONCATENATE((INDEX($Z$7:$Z$165,SMALL(IF($Z$7:$Z$165&lt;&gt;"",IF($W$7:$W$165&lt;&gt;"",ROW($W$7:$W$165)-MIN(ROW($W$7:$W$165))+1,""),""),ROW()-ROW(A$167)+1))),","),"")</f>
        <v/>
      </c>
      <c r="X190" s="0" t="str">
        <f aca="false">IFERROR(CONCATENATE(TEXT(INDEX($W$7:$W$165,SMALL(IF($Z$7:$Z$165&lt;&gt;"",IF($W$7:$W$165&lt;&gt;"",ROW($W$7:$W$165)-MIN(ROW($W$7:$W$165))+1,""),""),ROW()-ROW(A$167)+1)),"##0"),","),"")</f>
        <v/>
      </c>
      <c r="Y190" s="0" t="str">
        <f aca="false">IFERROR(CONCATENATE((INDEX($A$7:$A$165,SMALL(IF($Z$7:$Z$165&lt;&gt;"",IF($W$7:$W$165&lt;&gt;"",ROW($W$7:$W$165)-MIN(ROW($W$7:$W$165))+1,""),""),ROW()-ROW(A$167)+1))),),"")</f>
        <v/>
      </c>
    </row>
    <row r="191" customFormat="false" ht="13.8" hidden="false" customHeight="false" outlineLevel="0" collapsed="false">
      <c r="K191" s="0" t="str">
        <f aca="false">IFERROR(CONCATENATE(TEXT(INDEX($K$7:$K$165,SMALL(IF($N$7:$N$165&lt;&gt;"",IF($K$7:$K$165&lt;&gt;"",ROW($K$7:$K$165)-MIN(ROW($K$7:$K$165))+1,""),""),ROW()-ROW(A$167)+1)),"##0"),","),"")</f>
        <v/>
      </c>
      <c r="L191" s="0" t="str">
        <f aca="false">IFERROR(CONCATENATE((INDEX($N$7:$N$165,SMALL(IF($N$7:$N$165&lt;&gt;"",IF($K$7:$K$165&lt;&gt;"",ROW($K$7:$K$165)-MIN(ROW($K$7:$K$165))+1,""),""),ROW()-ROW(A$167)+1))),","),"")</f>
        <v/>
      </c>
      <c r="M191" s="0" t="str">
        <f aca="false">IFERROR(CONCATENATE((INDEX($A$7:$A$165,SMALL(IF($N$7:$N$165&lt;&gt;"",IF($K$7:$K$165&lt;&gt;"",ROW($K$7:$K$165)-MIN(ROW($K$7:$K$165))+1,""),""),ROW()-ROW(A$167)+1))),),"")</f>
        <v/>
      </c>
      <c r="Q191" s="0" t="str">
        <f aca="false">IFERROR(CONCATENATE((INDEX($T$7:$T$165,SMALL(IF($T$7:$T$165&lt;&gt;"",IF($Q$7:$Q$165&lt;&gt;"",ROW($Q$7:$Q$165)-MIN(ROW($Q$7:$Q$165))+1,""),""),ROW()-ROW(A$167)+1)))," "),"")</f>
        <v/>
      </c>
      <c r="R191" s="0" t="str">
        <f aca="false">IFERROR(CONCATENATE(TEXT(INDEX($Q$7:$Q$165,SMALL(IF($T$7:$T$165&lt;&gt;"",IF($Q$7:$Q$165&lt;&gt;"",ROW($Q$7:$Q$165)-MIN(ROW($Q$7:$Q$165))+1,""),""),ROW()-ROW(A$167)+1)),"##0")," "),"")</f>
        <v/>
      </c>
      <c r="S191" s="0" t="str">
        <f aca="false">IFERROR(CONCATENATE((INDEX($A$7:$A$165,SMALL(IF($T$7:$T$165&lt;&gt;"",IF($Q$7:$Q$165&lt;&gt;"",ROW($Q$7:$Q$165)-MIN(ROW($Q$7:$Q$165))+1,""),""),ROW()-ROW(A$167)+1))),),"")</f>
        <v/>
      </c>
      <c r="W191" s="0" t="str">
        <f aca="false">IFERROR(CONCATENATE((INDEX($Z$7:$Z$165,SMALL(IF($Z$7:$Z$165&lt;&gt;"",IF($W$7:$W$165&lt;&gt;"",ROW($W$7:$W$165)-MIN(ROW($W$7:$W$165))+1,""),""),ROW()-ROW(A$167)+1))),","),"")</f>
        <v/>
      </c>
      <c r="X191" s="0" t="str">
        <f aca="false">IFERROR(CONCATENATE(TEXT(INDEX($W$7:$W$165,SMALL(IF($Z$7:$Z$165&lt;&gt;"",IF($W$7:$W$165&lt;&gt;"",ROW($W$7:$W$165)-MIN(ROW($W$7:$W$165))+1,""),""),ROW()-ROW(A$167)+1)),"##0"),","),"")</f>
        <v/>
      </c>
      <c r="Y191" s="0" t="str">
        <f aca="false">IFERROR(CONCATENATE((INDEX($A$7:$A$165,SMALL(IF($Z$7:$Z$165&lt;&gt;"",IF($W$7:$W$165&lt;&gt;"",ROW($W$7:$W$165)-MIN(ROW($W$7:$W$165))+1,""),""),ROW()-ROW(A$167)+1))),),"")</f>
        <v/>
      </c>
    </row>
    <row r="192" customFormat="false" ht="13.8" hidden="false" customHeight="false" outlineLevel="0" collapsed="false">
      <c r="K192" s="0" t="str">
        <f aca="false">IFERROR(CONCATENATE(TEXT(INDEX($K$7:$K$165,SMALL(IF($N$7:$N$165&lt;&gt;"",IF($K$7:$K$165&lt;&gt;"",ROW($K$7:$K$165)-MIN(ROW($K$7:$K$165))+1,""),""),ROW()-ROW(A$167)+1)),"##0"),","),"")</f>
        <v/>
      </c>
      <c r="L192" s="0" t="str">
        <f aca="false">IFERROR(CONCATENATE((INDEX($N$7:$N$165,SMALL(IF($N$7:$N$165&lt;&gt;"",IF($K$7:$K$165&lt;&gt;"",ROW($K$7:$K$165)-MIN(ROW($K$7:$K$165))+1,""),""),ROW()-ROW(A$167)+1))),","),"")</f>
        <v/>
      </c>
      <c r="M192" s="0" t="str">
        <f aca="false">IFERROR(CONCATENATE((INDEX($A$7:$A$165,SMALL(IF($N$7:$N$165&lt;&gt;"",IF($K$7:$K$165&lt;&gt;"",ROW($K$7:$K$165)-MIN(ROW($K$7:$K$165))+1,""),""),ROW()-ROW(A$167)+1))),),"")</f>
        <v/>
      </c>
      <c r="Q192" s="0" t="str">
        <f aca="false">IFERROR(CONCATENATE((INDEX($T$7:$T$165,SMALL(IF($T$7:$T$165&lt;&gt;"",IF($Q$7:$Q$165&lt;&gt;"",ROW($Q$7:$Q$165)-MIN(ROW($Q$7:$Q$165))+1,""),""),ROW()-ROW(A$167)+1)))," "),"")</f>
        <v/>
      </c>
      <c r="R192" s="0" t="str">
        <f aca="false">IFERROR(CONCATENATE(TEXT(INDEX($Q$7:$Q$165,SMALL(IF($T$7:$T$165&lt;&gt;"",IF($Q$7:$Q$165&lt;&gt;"",ROW($Q$7:$Q$165)-MIN(ROW($Q$7:$Q$165))+1,""),""),ROW()-ROW(A$167)+1)),"##0")," "),"")</f>
        <v/>
      </c>
      <c r="S192" s="0" t="str">
        <f aca="false">IFERROR(CONCATENATE((INDEX($A$7:$A$165,SMALL(IF($T$7:$T$165&lt;&gt;"",IF($Q$7:$Q$165&lt;&gt;"",ROW($Q$7:$Q$165)-MIN(ROW($Q$7:$Q$165))+1,""),""),ROW()-ROW(A$167)+1))),),"")</f>
        <v/>
      </c>
      <c r="W192" s="0" t="str">
        <f aca="false">IFERROR(CONCATENATE((INDEX($Z$7:$Z$165,SMALL(IF($Z$7:$Z$165&lt;&gt;"",IF($W$7:$W$165&lt;&gt;"",ROW($W$7:$W$165)-MIN(ROW($W$7:$W$165))+1,""),""),ROW()-ROW(A$167)+1))),","),"")</f>
        <v/>
      </c>
      <c r="X192" s="0" t="str">
        <f aca="false">IFERROR(CONCATENATE(TEXT(INDEX($W$7:$W$165,SMALL(IF($Z$7:$Z$165&lt;&gt;"",IF($W$7:$W$165&lt;&gt;"",ROW($W$7:$W$165)-MIN(ROW($W$7:$W$165))+1,""),""),ROW()-ROW(A$167)+1)),"##0"),","),"")</f>
        <v/>
      </c>
      <c r="Y192" s="0" t="str">
        <f aca="false">IFERROR(CONCATENATE((INDEX($A$7:$A$165,SMALL(IF($Z$7:$Z$165&lt;&gt;"",IF($W$7:$W$165&lt;&gt;"",ROW($W$7:$W$165)-MIN(ROW($W$7:$W$165))+1,""),""),ROW()-ROW(A$167)+1))),),"")</f>
        <v/>
      </c>
    </row>
    <row r="193" customFormat="false" ht="13.8" hidden="false" customHeight="false" outlineLevel="0" collapsed="false">
      <c r="K193" s="0" t="str">
        <f aca="false">IFERROR(CONCATENATE(TEXT(INDEX($K$7:$K$165,SMALL(IF($N$7:$N$165&lt;&gt;"",IF($K$7:$K$165&lt;&gt;"",ROW($K$7:$K$165)-MIN(ROW($K$7:$K$165))+1,""),""),ROW()-ROW(A$167)+1)),"##0"),","),"")</f>
        <v/>
      </c>
      <c r="L193" s="0" t="str">
        <f aca="false">IFERROR(CONCATENATE((INDEX($N$7:$N$165,SMALL(IF($N$7:$N$165&lt;&gt;"",IF($K$7:$K$165&lt;&gt;"",ROW($K$7:$K$165)-MIN(ROW($K$7:$K$165))+1,""),""),ROW()-ROW(A$167)+1))),","),"")</f>
        <v/>
      </c>
      <c r="M193" s="0" t="str">
        <f aca="false">IFERROR(CONCATENATE((INDEX($A$7:$A$165,SMALL(IF($N$7:$N$165&lt;&gt;"",IF($K$7:$K$165&lt;&gt;"",ROW($K$7:$K$165)-MIN(ROW($K$7:$K$165))+1,""),""),ROW()-ROW(A$167)+1))),),"")</f>
        <v/>
      </c>
      <c r="Q193" s="0" t="str">
        <f aca="false">IFERROR(CONCATENATE((INDEX($T$7:$T$165,SMALL(IF($T$7:$T$165&lt;&gt;"",IF($Q$7:$Q$165&lt;&gt;"",ROW($Q$7:$Q$165)-MIN(ROW($Q$7:$Q$165))+1,""),""),ROW()-ROW(A$167)+1)))," "),"")</f>
        <v/>
      </c>
      <c r="R193" s="0" t="str">
        <f aca="false">IFERROR(CONCATENATE(TEXT(INDEX($Q$7:$Q$165,SMALL(IF($T$7:$T$165&lt;&gt;"",IF($Q$7:$Q$165&lt;&gt;"",ROW($Q$7:$Q$165)-MIN(ROW($Q$7:$Q$165))+1,""),""),ROW()-ROW(A$167)+1)),"##0")," "),"")</f>
        <v/>
      </c>
      <c r="S193" s="0" t="str">
        <f aca="false">IFERROR(CONCATENATE((INDEX($A$7:$A$165,SMALL(IF($T$7:$T$165&lt;&gt;"",IF($Q$7:$Q$165&lt;&gt;"",ROW($Q$7:$Q$165)-MIN(ROW($Q$7:$Q$165))+1,""),""),ROW()-ROW(A$167)+1))),),"")</f>
        <v/>
      </c>
      <c r="W193" s="0" t="str">
        <f aca="false">IFERROR(CONCATENATE((INDEX($Z$7:$Z$165,SMALL(IF($Z$7:$Z$165&lt;&gt;"",IF($W$7:$W$165&lt;&gt;"",ROW($W$7:$W$165)-MIN(ROW($W$7:$W$165))+1,""),""),ROW()-ROW(A$167)+1))),","),"")</f>
        <v/>
      </c>
      <c r="X193" s="0" t="str">
        <f aca="false">IFERROR(CONCATENATE(TEXT(INDEX($W$7:$W$165,SMALL(IF($Z$7:$Z$165&lt;&gt;"",IF($W$7:$W$165&lt;&gt;"",ROW($W$7:$W$165)-MIN(ROW($W$7:$W$165))+1,""),""),ROW()-ROW(A$167)+1)),"##0"),","),"")</f>
        <v/>
      </c>
      <c r="Y193" s="0" t="str">
        <f aca="false">IFERROR(CONCATENATE((INDEX($A$7:$A$165,SMALL(IF($Z$7:$Z$165&lt;&gt;"",IF($W$7:$W$165&lt;&gt;"",ROW($W$7:$W$165)-MIN(ROW($W$7:$W$165))+1,""),""),ROW()-ROW(A$167)+1))),),"")</f>
        <v/>
      </c>
    </row>
    <row r="194" customFormat="false" ht="13.8" hidden="false" customHeight="false" outlineLevel="0" collapsed="false">
      <c r="K194" s="0" t="str">
        <f aca="false">IFERROR(CONCATENATE(TEXT(INDEX($K$7:$K$165,SMALL(IF($N$7:$N$165&lt;&gt;"",IF($K$7:$K$165&lt;&gt;"",ROW($K$7:$K$165)-MIN(ROW($K$7:$K$165))+1,""),""),ROW()-ROW(A$167)+1)),"##0"),","),"")</f>
        <v/>
      </c>
      <c r="L194" s="0" t="str">
        <f aca="false">IFERROR(CONCATENATE((INDEX($N$7:$N$165,SMALL(IF($N$7:$N$165&lt;&gt;"",IF($K$7:$K$165&lt;&gt;"",ROW($K$7:$K$165)-MIN(ROW($K$7:$K$165))+1,""),""),ROW()-ROW(A$167)+1))),","),"")</f>
        <v/>
      </c>
      <c r="M194" s="0" t="str">
        <f aca="false">IFERROR(CONCATENATE((INDEX($A$7:$A$165,SMALL(IF($N$7:$N$165&lt;&gt;"",IF($K$7:$K$165&lt;&gt;"",ROW($K$7:$K$165)-MIN(ROW($K$7:$K$165))+1,""),""),ROW()-ROW(A$167)+1))),),"")</f>
        <v/>
      </c>
      <c r="Q194" s="0" t="str">
        <f aca="false">IFERROR(CONCATENATE((INDEX($T$7:$T$165,SMALL(IF($T$7:$T$165&lt;&gt;"",IF($Q$7:$Q$165&lt;&gt;"",ROW($Q$7:$Q$165)-MIN(ROW($Q$7:$Q$165))+1,""),""),ROW()-ROW(A$167)+1)))," "),"")</f>
        <v/>
      </c>
      <c r="R194" s="0" t="str">
        <f aca="false">IFERROR(CONCATENATE(TEXT(INDEX($Q$7:$Q$165,SMALL(IF($T$7:$T$165&lt;&gt;"",IF($Q$7:$Q$165&lt;&gt;"",ROW($Q$7:$Q$165)-MIN(ROW($Q$7:$Q$165))+1,""),""),ROW()-ROW(A$167)+1)),"##0")," "),"")</f>
        <v/>
      </c>
      <c r="S194" s="0" t="str">
        <f aca="false">IFERROR(CONCATENATE((INDEX($A$7:$A$165,SMALL(IF($T$7:$T$165&lt;&gt;"",IF($Q$7:$Q$165&lt;&gt;"",ROW($Q$7:$Q$165)-MIN(ROW($Q$7:$Q$165))+1,""),""),ROW()-ROW(A$167)+1))),),"")</f>
        <v/>
      </c>
      <c r="W194" s="0" t="str">
        <f aca="false">IFERROR(CONCATENATE((INDEX($Z$7:$Z$165,SMALL(IF($Z$7:$Z$165&lt;&gt;"",IF($W$7:$W$165&lt;&gt;"",ROW($W$7:$W$165)-MIN(ROW($W$7:$W$165))+1,""),""),ROW()-ROW(A$167)+1))),","),"")</f>
        <v/>
      </c>
      <c r="X194" s="0" t="str">
        <f aca="false">IFERROR(CONCATENATE(TEXT(INDEX($W$7:$W$165,SMALL(IF($Z$7:$Z$165&lt;&gt;"",IF($W$7:$W$165&lt;&gt;"",ROW($W$7:$W$165)-MIN(ROW($W$7:$W$165))+1,""),""),ROW()-ROW(A$167)+1)),"##0"),","),"")</f>
        <v/>
      </c>
      <c r="Y194" s="0" t="str">
        <f aca="false">IFERROR(CONCATENATE((INDEX($A$7:$A$165,SMALL(IF($Z$7:$Z$165&lt;&gt;"",IF($W$7:$W$165&lt;&gt;"",ROW($W$7:$W$165)-MIN(ROW($W$7:$W$165))+1,""),""),ROW()-ROW(A$167)+1))),),"")</f>
        <v/>
      </c>
    </row>
    <row r="195" customFormat="false" ht="13.8" hidden="false" customHeight="false" outlineLevel="0" collapsed="false">
      <c r="K195" s="0" t="str">
        <f aca="false">IFERROR(CONCATENATE(TEXT(INDEX($K$7:$K$165,SMALL(IF($N$7:$N$165&lt;&gt;"",IF($K$7:$K$165&lt;&gt;"",ROW($K$7:$K$165)-MIN(ROW($K$7:$K$165))+1,""),""),ROW()-ROW(A$167)+1)),"##0"),","),"")</f>
        <v/>
      </c>
      <c r="L195" s="0" t="str">
        <f aca="false">IFERROR(CONCATENATE((INDEX($N$7:$N$165,SMALL(IF($N$7:$N$165&lt;&gt;"",IF($K$7:$K$165&lt;&gt;"",ROW($K$7:$K$165)-MIN(ROW($K$7:$K$165))+1,""),""),ROW()-ROW(A$167)+1))),","),"")</f>
        <v/>
      </c>
      <c r="M195" s="0" t="str">
        <f aca="false">IFERROR(CONCATENATE((INDEX($A$7:$A$165,SMALL(IF($N$7:$N$165&lt;&gt;"",IF($K$7:$K$165&lt;&gt;"",ROW($K$7:$K$165)-MIN(ROW($K$7:$K$165))+1,""),""),ROW()-ROW(A$167)+1))),),"")</f>
        <v/>
      </c>
      <c r="Q195" s="0" t="str">
        <f aca="false">IFERROR(CONCATENATE((INDEX($T$7:$T$165,SMALL(IF($T$7:$T$165&lt;&gt;"",IF($Q$7:$Q$165&lt;&gt;"",ROW($Q$7:$Q$165)-MIN(ROW($Q$7:$Q$165))+1,""),""),ROW()-ROW(A$167)+1)))," "),"")</f>
        <v/>
      </c>
      <c r="R195" s="0" t="str">
        <f aca="false">IFERROR(CONCATENATE(TEXT(INDEX($Q$7:$Q$165,SMALL(IF($T$7:$T$165&lt;&gt;"",IF($Q$7:$Q$165&lt;&gt;"",ROW($Q$7:$Q$165)-MIN(ROW($Q$7:$Q$165))+1,""),""),ROW()-ROW(A$167)+1)),"##0")," "),"")</f>
        <v/>
      </c>
      <c r="S195" s="0" t="str">
        <f aca="false">IFERROR(CONCATENATE((INDEX($A$7:$A$165,SMALL(IF($T$7:$T$165&lt;&gt;"",IF($Q$7:$Q$165&lt;&gt;"",ROW($Q$7:$Q$165)-MIN(ROW($Q$7:$Q$165))+1,""),""),ROW()-ROW(A$167)+1))),),"")</f>
        <v/>
      </c>
      <c r="W195" s="0" t="str">
        <f aca="false">IFERROR(CONCATENATE((INDEX($Z$7:$Z$165,SMALL(IF($Z$7:$Z$165&lt;&gt;"",IF($W$7:$W$165&lt;&gt;"",ROW($W$7:$W$165)-MIN(ROW($W$7:$W$165))+1,""),""),ROW()-ROW(A$167)+1))),","),"")</f>
        <v/>
      </c>
      <c r="X195" s="0" t="str">
        <f aca="false">IFERROR(CONCATENATE(TEXT(INDEX($W$7:$W$165,SMALL(IF($Z$7:$Z$165&lt;&gt;"",IF($W$7:$W$165&lt;&gt;"",ROW($W$7:$W$165)-MIN(ROW($W$7:$W$165))+1,""),""),ROW()-ROW(A$167)+1)),"##0"),","),"")</f>
        <v/>
      </c>
      <c r="Y195" s="0" t="str">
        <f aca="false">IFERROR(CONCATENATE((INDEX($A$7:$A$165,SMALL(IF($Z$7:$Z$165&lt;&gt;"",IF($W$7:$W$165&lt;&gt;"",ROW($W$7:$W$165)-MIN(ROW($W$7:$W$165))+1,""),""),ROW()-ROW(A$167)+1))),),"")</f>
        <v/>
      </c>
    </row>
    <row r="196" customFormat="false" ht="13.8" hidden="false" customHeight="false" outlineLevel="0" collapsed="false">
      <c r="K196" s="0" t="str">
        <f aca="false">IFERROR(CONCATENATE(TEXT(INDEX($K$7:$K$165,SMALL(IF($N$7:$N$165&lt;&gt;"",IF($K$7:$K$165&lt;&gt;"",ROW($K$7:$K$165)-MIN(ROW($K$7:$K$165))+1,""),""),ROW()-ROW(A$167)+1)),"##0"),","),"")</f>
        <v/>
      </c>
      <c r="L196" s="0" t="str">
        <f aca="false">IFERROR(CONCATENATE((INDEX($N$7:$N$165,SMALL(IF($N$7:$N$165&lt;&gt;"",IF($K$7:$K$165&lt;&gt;"",ROW($K$7:$K$165)-MIN(ROW($K$7:$K$165))+1,""),""),ROW()-ROW(A$167)+1))),","),"")</f>
        <v/>
      </c>
      <c r="M196" s="0" t="str">
        <f aca="false">IFERROR(CONCATENATE((INDEX($A$7:$A$165,SMALL(IF($N$7:$N$165&lt;&gt;"",IF($K$7:$K$165&lt;&gt;"",ROW($K$7:$K$165)-MIN(ROW($K$7:$K$165))+1,""),""),ROW()-ROW(A$167)+1))),),"")</f>
        <v/>
      </c>
      <c r="Q196" s="0" t="str">
        <f aca="false">IFERROR(CONCATENATE((INDEX($T$7:$T$165,SMALL(IF($T$7:$T$165&lt;&gt;"",IF($Q$7:$Q$165&lt;&gt;"",ROW($Q$7:$Q$165)-MIN(ROW($Q$7:$Q$165))+1,""),""),ROW()-ROW(A$167)+1)))," "),"")</f>
        <v/>
      </c>
      <c r="R196" s="0" t="str">
        <f aca="false">IFERROR(CONCATENATE(TEXT(INDEX($Q$7:$Q$165,SMALL(IF($T$7:$T$165&lt;&gt;"",IF($Q$7:$Q$165&lt;&gt;"",ROW($Q$7:$Q$165)-MIN(ROW($Q$7:$Q$165))+1,""),""),ROW()-ROW(A$167)+1)),"##0")," "),"")</f>
        <v/>
      </c>
      <c r="S196" s="0" t="str">
        <f aca="false">IFERROR(CONCATENATE((INDEX($A$7:$A$165,SMALL(IF($T$7:$T$165&lt;&gt;"",IF($Q$7:$Q$165&lt;&gt;"",ROW($Q$7:$Q$165)-MIN(ROW($Q$7:$Q$165))+1,""),""),ROW()-ROW(A$167)+1))),),"")</f>
        <v/>
      </c>
      <c r="W196" s="0" t="str">
        <f aca="false">IFERROR(CONCATENATE((INDEX($Z$7:$Z$165,SMALL(IF($Z$7:$Z$165&lt;&gt;"",IF($W$7:$W$165&lt;&gt;"",ROW($W$7:$W$165)-MIN(ROW($W$7:$W$165))+1,""),""),ROW()-ROW(A$167)+1))),","),"")</f>
        <v/>
      </c>
      <c r="X196" s="0" t="str">
        <f aca="false">IFERROR(CONCATENATE(TEXT(INDEX($W$7:$W$165,SMALL(IF($Z$7:$Z$165&lt;&gt;"",IF($W$7:$W$165&lt;&gt;"",ROW($W$7:$W$165)-MIN(ROW($W$7:$W$165))+1,""),""),ROW()-ROW(A$167)+1)),"##0"),","),"")</f>
        <v/>
      </c>
      <c r="Y196" s="0" t="str">
        <f aca="false">IFERROR(CONCATENATE((INDEX($A$7:$A$165,SMALL(IF($Z$7:$Z$165&lt;&gt;"",IF($W$7:$W$165&lt;&gt;"",ROW($W$7:$W$165)-MIN(ROW($W$7:$W$165))+1,""),""),ROW()-ROW(A$167)+1))),),"")</f>
        <v/>
      </c>
    </row>
    <row r="197" customFormat="false" ht="13.8" hidden="false" customHeight="false" outlineLevel="0" collapsed="false">
      <c r="K197" s="0" t="str">
        <f aca="false">IFERROR(CONCATENATE(TEXT(INDEX($K$7:$K$165,SMALL(IF($N$7:$N$165&lt;&gt;"",IF($K$7:$K$165&lt;&gt;"",ROW($K$7:$K$165)-MIN(ROW($K$7:$K$165))+1,""),""),ROW()-ROW(A$167)+1)),"##0"),","),"")</f>
        <v/>
      </c>
      <c r="L197" s="0" t="str">
        <f aca="false">IFERROR(CONCATENATE((INDEX($N$7:$N$165,SMALL(IF($N$7:$N$165&lt;&gt;"",IF($K$7:$K$165&lt;&gt;"",ROW($K$7:$K$165)-MIN(ROW($K$7:$K$165))+1,""),""),ROW()-ROW(A$167)+1))),","),"")</f>
        <v/>
      </c>
      <c r="M197" s="0" t="str">
        <f aca="false">IFERROR(CONCATENATE((INDEX($A$7:$A$165,SMALL(IF($N$7:$N$165&lt;&gt;"",IF($K$7:$K$165&lt;&gt;"",ROW($K$7:$K$165)-MIN(ROW($K$7:$K$165))+1,""),""),ROW()-ROW(A$167)+1))),),"")</f>
        <v/>
      </c>
      <c r="Q197" s="0" t="str">
        <f aca="false">IFERROR(CONCATENATE((INDEX($T$7:$T$165,SMALL(IF($T$7:$T$165&lt;&gt;"",IF($Q$7:$Q$165&lt;&gt;"",ROW($Q$7:$Q$165)-MIN(ROW($Q$7:$Q$165))+1,""),""),ROW()-ROW(A$167)+1)))," "),"")</f>
        <v/>
      </c>
      <c r="R197" s="0" t="str">
        <f aca="false">IFERROR(CONCATENATE(TEXT(INDEX($Q$7:$Q$165,SMALL(IF($T$7:$T$165&lt;&gt;"",IF($Q$7:$Q$165&lt;&gt;"",ROW($Q$7:$Q$165)-MIN(ROW($Q$7:$Q$165))+1,""),""),ROW()-ROW(A$167)+1)),"##0")," "),"")</f>
        <v/>
      </c>
      <c r="S197" s="0" t="str">
        <f aca="false">IFERROR(CONCATENATE((INDEX($A$7:$A$165,SMALL(IF($T$7:$T$165&lt;&gt;"",IF($Q$7:$Q$165&lt;&gt;"",ROW($Q$7:$Q$165)-MIN(ROW($Q$7:$Q$165))+1,""),""),ROW()-ROW(A$167)+1))),),"")</f>
        <v/>
      </c>
      <c r="W197" s="0" t="str">
        <f aca="false">IFERROR(CONCATENATE((INDEX($Z$7:$Z$165,SMALL(IF($Z$7:$Z$165&lt;&gt;"",IF($W$7:$W$165&lt;&gt;"",ROW($W$7:$W$165)-MIN(ROW($W$7:$W$165))+1,""),""),ROW()-ROW(A$167)+1))),","),"")</f>
        <v/>
      </c>
      <c r="X197" s="0" t="str">
        <f aca="false">IFERROR(CONCATENATE(TEXT(INDEX($W$7:$W$165,SMALL(IF($Z$7:$Z$165&lt;&gt;"",IF($W$7:$W$165&lt;&gt;"",ROW($W$7:$W$165)-MIN(ROW($W$7:$W$165))+1,""),""),ROW()-ROW(A$167)+1)),"##0"),","),"")</f>
        <v/>
      </c>
      <c r="Y197" s="0" t="str">
        <f aca="false">IFERROR(CONCATENATE((INDEX($A$7:$A$165,SMALL(IF($Z$7:$Z$165&lt;&gt;"",IF($W$7:$W$165&lt;&gt;"",ROW($W$7:$W$165)-MIN(ROW($W$7:$W$165))+1,""),""),ROW()-ROW(A$167)+1))),),"")</f>
        <v/>
      </c>
    </row>
    <row r="198" customFormat="false" ht="13.8" hidden="false" customHeight="false" outlineLevel="0" collapsed="false">
      <c r="K198" s="0" t="str">
        <f aca="false">IFERROR(CONCATENATE(TEXT(INDEX($K$7:$K$165,SMALL(IF($N$7:$N$165&lt;&gt;"",IF($K$7:$K$165&lt;&gt;"",ROW($K$7:$K$165)-MIN(ROW($K$7:$K$165))+1,""),""),ROW()-ROW(A$167)+1)),"##0"),","),"")</f>
        <v/>
      </c>
      <c r="L198" s="0" t="str">
        <f aca="false">IFERROR(CONCATENATE((INDEX($N$7:$N$165,SMALL(IF($N$7:$N$165&lt;&gt;"",IF($K$7:$K$165&lt;&gt;"",ROW($K$7:$K$165)-MIN(ROW($K$7:$K$165))+1,""),""),ROW()-ROW(A$167)+1))),","),"")</f>
        <v/>
      </c>
      <c r="M198" s="0" t="str">
        <f aca="false">IFERROR(CONCATENATE((INDEX($A$7:$A$165,SMALL(IF($N$7:$N$165&lt;&gt;"",IF($K$7:$K$165&lt;&gt;"",ROW($K$7:$K$165)-MIN(ROW($K$7:$K$165))+1,""),""),ROW()-ROW(A$167)+1))),),"")</f>
        <v/>
      </c>
      <c r="Q198" s="0" t="str">
        <f aca="false">IFERROR(CONCATENATE((INDEX($T$7:$T$165,SMALL(IF($T$7:$T$165&lt;&gt;"",IF($Q$7:$Q$165&lt;&gt;"",ROW($Q$7:$Q$165)-MIN(ROW($Q$7:$Q$165))+1,""),""),ROW()-ROW(A$167)+1)))," "),"")</f>
        <v/>
      </c>
      <c r="R198" s="0" t="str">
        <f aca="false">IFERROR(CONCATENATE(TEXT(INDEX($Q$7:$Q$165,SMALL(IF($T$7:$T$165&lt;&gt;"",IF($Q$7:$Q$165&lt;&gt;"",ROW($Q$7:$Q$165)-MIN(ROW($Q$7:$Q$165))+1,""),""),ROW()-ROW(A$167)+1)),"##0")," "),"")</f>
        <v/>
      </c>
      <c r="S198" s="0" t="str">
        <f aca="false">IFERROR(CONCATENATE((INDEX($A$7:$A$165,SMALL(IF($T$7:$T$165&lt;&gt;"",IF($Q$7:$Q$165&lt;&gt;"",ROW($Q$7:$Q$165)-MIN(ROW($Q$7:$Q$165))+1,""),""),ROW()-ROW(A$167)+1))),),"")</f>
        <v/>
      </c>
      <c r="W198" s="0" t="str">
        <f aca="false">IFERROR(CONCATENATE((INDEX($Z$7:$Z$165,SMALL(IF($Z$7:$Z$165&lt;&gt;"",IF($W$7:$W$165&lt;&gt;"",ROW($W$7:$W$165)-MIN(ROW($W$7:$W$165))+1,""),""),ROW()-ROW(A$167)+1))),","),"")</f>
        <v/>
      </c>
      <c r="X198" s="0" t="str">
        <f aca="false">IFERROR(CONCATENATE(TEXT(INDEX($W$7:$W$165,SMALL(IF($Z$7:$Z$165&lt;&gt;"",IF($W$7:$W$165&lt;&gt;"",ROW($W$7:$W$165)-MIN(ROW($W$7:$W$165))+1,""),""),ROW()-ROW(A$167)+1)),"##0"),","),"")</f>
        <v/>
      </c>
      <c r="Y198" s="0" t="str">
        <f aca="false">IFERROR(CONCATENATE((INDEX($A$7:$A$165,SMALL(IF($Z$7:$Z$165&lt;&gt;"",IF($W$7:$W$165&lt;&gt;"",ROW($W$7:$W$165)-MIN(ROW($W$7:$W$165))+1,""),""),ROW()-ROW(A$167)+1))),),"")</f>
        <v/>
      </c>
    </row>
    <row r="199" customFormat="false" ht="13.8" hidden="false" customHeight="false" outlineLevel="0" collapsed="false">
      <c r="K199" s="0" t="str">
        <f aca="false">IFERROR(CONCATENATE(TEXT(INDEX($K$7:$K$165,SMALL(IF($N$7:$N$165&lt;&gt;"",IF($K$7:$K$165&lt;&gt;"",ROW($K$7:$K$165)-MIN(ROW($K$7:$K$165))+1,""),""),ROW()-ROW(A$167)+1)),"##0"),","),"")</f>
        <v/>
      </c>
      <c r="L199" s="0" t="str">
        <f aca="false">IFERROR(CONCATENATE((INDEX($N$7:$N$165,SMALL(IF($N$7:$N$165&lt;&gt;"",IF($K$7:$K$165&lt;&gt;"",ROW($K$7:$K$165)-MIN(ROW($K$7:$K$165))+1,""),""),ROW()-ROW(A$167)+1))),","),"")</f>
        <v/>
      </c>
      <c r="M199" s="0" t="str">
        <f aca="false">IFERROR(CONCATENATE((INDEX($A$7:$A$165,SMALL(IF($N$7:$N$165&lt;&gt;"",IF($K$7:$K$165&lt;&gt;"",ROW($K$7:$K$165)-MIN(ROW($K$7:$K$165))+1,""),""),ROW()-ROW(A$167)+1))),),"")</f>
        <v/>
      </c>
      <c r="Q199" s="0" t="str">
        <f aca="false">IFERROR(CONCATENATE((INDEX($T$7:$T$165,SMALL(IF($T$7:$T$165&lt;&gt;"",IF($Q$7:$Q$165&lt;&gt;"",ROW($Q$7:$Q$165)-MIN(ROW($Q$7:$Q$165))+1,""),""),ROW()-ROW(A$167)+1)))," "),"")</f>
        <v/>
      </c>
      <c r="R199" s="0" t="str">
        <f aca="false">IFERROR(CONCATENATE(TEXT(INDEX($Q$7:$Q$165,SMALL(IF($T$7:$T$165&lt;&gt;"",IF($Q$7:$Q$165&lt;&gt;"",ROW($Q$7:$Q$165)-MIN(ROW($Q$7:$Q$165))+1,""),""),ROW()-ROW(A$167)+1)),"##0")," "),"")</f>
        <v/>
      </c>
      <c r="S199" s="0" t="str">
        <f aca="false">IFERROR(CONCATENATE((INDEX($A$7:$A$165,SMALL(IF($T$7:$T$165&lt;&gt;"",IF($Q$7:$Q$165&lt;&gt;"",ROW($Q$7:$Q$165)-MIN(ROW($Q$7:$Q$165))+1,""),""),ROW()-ROW(A$167)+1))),),"")</f>
        <v/>
      </c>
      <c r="W199" s="0" t="str">
        <f aca="false">IFERROR(CONCATENATE((INDEX($Z$7:$Z$165,SMALL(IF($Z$7:$Z$165&lt;&gt;"",IF($W$7:$W$165&lt;&gt;"",ROW($W$7:$W$165)-MIN(ROW($W$7:$W$165))+1,""),""),ROW()-ROW(A$167)+1))),","),"")</f>
        <v/>
      </c>
      <c r="X199" s="0" t="str">
        <f aca="false">IFERROR(CONCATENATE(TEXT(INDEX($W$7:$W$165,SMALL(IF($Z$7:$Z$165&lt;&gt;"",IF($W$7:$W$165&lt;&gt;"",ROW($W$7:$W$165)-MIN(ROW($W$7:$W$165))+1,""),""),ROW()-ROW(A$167)+1)),"##0"),","),"")</f>
        <v/>
      </c>
      <c r="Y199" s="0" t="str">
        <f aca="false">IFERROR(CONCATENATE((INDEX($A$7:$A$165,SMALL(IF($Z$7:$Z$165&lt;&gt;"",IF($W$7:$W$165&lt;&gt;"",ROW($W$7:$W$165)-MIN(ROW($W$7:$W$165))+1,""),""),ROW()-ROW(A$167)+1))),),"")</f>
        <v/>
      </c>
    </row>
    <row r="200" customFormat="false" ht="13.8" hidden="false" customHeight="false" outlineLevel="0" collapsed="false">
      <c r="K200" s="0" t="str">
        <f aca="false">IFERROR(CONCATENATE(TEXT(INDEX($K$7:$K$165,SMALL(IF($N$7:$N$165&lt;&gt;"",IF($K$7:$K$165&lt;&gt;"",ROW($K$7:$K$165)-MIN(ROW($K$7:$K$165))+1,""),""),ROW()-ROW(A$167)+1)),"##0"),","),"")</f>
        <v/>
      </c>
      <c r="L200" s="0" t="str">
        <f aca="false">IFERROR(CONCATENATE((INDEX($N$7:$N$165,SMALL(IF($N$7:$N$165&lt;&gt;"",IF($K$7:$K$165&lt;&gt;"",ROW($K$7:$K$165)-MIN(ROW($K$7:$K$165))+1,""),""),ROW()-ROW(A$167)+1))),","),"")</f>
        <v/>
      </c>
      <c r="M200" s="0" t="str">
        <f aca="false">IFERROR(CONCATENATE((INDEX($A$7:$A$165,SMALL(IF($N$7:$N$165&lt;&gt;"",IF($K$7:$K$165&lt;&gt;"",ROW($K$7:$K$165)-MIN(ROW($K$7:$K$165))+1,""),""),ROW()-ROW(A$167)+1))),),"")</f>
        <v/>
      </c>
      <c r="Q200" s="0" t="str">
        <f aca="false">IFERROR(CONCATENATE((INDEX($T$7:$T$165,SMALL(IF($T$7:$T$165&lt;&gt;"",IF($Q$7:$Q$165&lt;&gt;"",ROW($Q$7:$Q$165)-MIN(ROW($Q$7:$Q$165))+1,""),""),ROW()-ROW(A$167)+1)))," "),"")</f>
        <v/>
      </c>
      <c r="R200" s="0" t="str">
        <f aca="false">IFERROR(CONCATENATE(TEXT(INDEX($Q$7:$Q$165,SMALL(IF($T$7:$T$165&lt;&gt;"",IF($Q$7:$Q$165&lt;&gt;"",ROW($Q$7:$Q$165)-MIN(ROW($Q$7:$Q$165))+1,""),""),ROW()-ROW(A$167)+1)),"##0")," "),"")</f>
        <v/>
      </c>
      <c r="S200" s="0" t="str">
        <f aca="false">IFERROR(CONCATENATE((INDEX($A$7:$A$165,SMALL(IF($T$7:$T$165&lt;&gt;"",IF($Q$7:$Q$165&lt;&gt;"",ROW($Q$7:$Q$165)-MIN(ROW($Q$7:$Q$165))+1,""),""),ROW()-ROW(A$167)+1))),),"")</f>
        <v/>
      </c>
      <c r="W200" s="0" t="str">
        <f aca="false">IFERROR(CONCATENATE((INDEX($Z$7:$Z$165,SMALL(IF($Z$7:$Z$165&lt;&gt;"",IF($W$7:$W$165&lt;&gt;"",ROW($W$7:$W$165)-MIN(ROW($W$7:$W$165))+1,""),""),ROW()-ROW(A$167)+1))),","),"")</f>
        <v/>
      </c>
      <c r="X200" s="0" t="str">
        <f aca="false">IFERROR(CONCATENATE(TEXT(INDEX($W$7:$W$165,SMALL(IF($Z$7:$Z$165&lt;&gt;"",IF($W$7:$W$165&lt;&gt;"",ROW($W$7:$W$165)-MIN(ROW($W$7:$W$165))+1,""),""),ROW()-ROW(A$167)+1)),"##0"),","),"")</f>
        <v/>
      </c>
      <c r="Y200" s="0" t="str">
        <f aca="false">IFERROR(CONCATENATE((INDEX($A$7:$A$165,SMALL(IF($Z$7:$Z$165&lt;&gt;"",IF($W$7:$W$165&lt;&gt;"",ROW($W$7:$W$165)-MIN(ROW($W$7:$W$165))+1,""),""),ROW()-ROW(A$167)+1))),),"")</f>
        <v/>
      </c>
    </row>
    <row r="201" customFormat="false" ht="13.8" hidden="false" customHeight="false" outlineLevel="0" collapsed="false">
      <c r="K201" s="0" t="str">
        <f aca="false">IFERROR(CONCATENATE(TEXT(INDEX($K$7:$K$165,SMALL(IF($N$7:$N$165&lt;&gt;"",IF($K$7:$K$165&lt;&gt;"",ROW($K$7:$K$165)-MIN(ROW($K$7:$K$165))+1,""),""),ROW()-ROW(A$167)+1)),"##0"),","),"")</f>
        <v/>
      </c>
      <c r="L201" s="0" t="str">
        <f aca="false">IFERROR(CONCATENATE((INDEX($N$7:$N$165,SMALL(IF($N$7:$N$165&lt;&gt;"",IF($K$7:$K$165&lt;&gt;"",ROW($K$7:$K$165)-MIN(ROW($K$7:$K$165))+1,""),""),ROW()-ROW(A$167)+1))),","),"")</f>
        <v/>
      </c>
      <c r="M201" s="0" t="str">
        <f aca="false">IFERROR(CONCATENATE((INDEX($A$7:$A$165,SMALL(IF($N$7:$N$165&lt;&gt;"",IF($K$7:$K$165&lt;&gt;"",ROW($K$7:$K$165)-MIN(ROW($K$7:$K$165))+1,""),""),ROW()-ROW(A$167)+1))),),"")</f>
        <v/>
      </c>
      <c r="Q201" s="0" t="str">
        <f aca="false">IFERROR(CONCATENATE((INDEX($T$7:$T$165,SMALL(IF($T$7:$T$165&lt;&gt;"",IF($Q$7:$Q$165&lt;&gt;"",ROW($Q$7:$Q$165)-MIN(ROW($Q$7:$Q$165))+1,""),""),ROW()-ROW(A$167)+1)))," "),"")</f>
        <v/>
      </c>
      <c r="R201" s="0" t="str">
        <f aca="false">IFERROR(CONCATENATE(TEXT(INDEX($Q$7:$Q$165,SMALL(IF($T$7:$T$165&lt;&gt;"",IF($Q$7:$Q$165&lt;&gt;"",ROW($Q$7:$Q$165)-MIN(ROW($Q$7:$Q$165))+1,""),""),ROW()-ROW(A$167)+1)),"##0")," "),"")</f>
        <v/>
      </c>
      <c r="S201" s="0" t="str">
        <f aca="false">IFERROR(CONCATENATE((INDEX($A$7:$A$165,SMALL(IF($T$7:$T$165&lt;&gt;"",IF($Q$7:$Q$165&lt;&gt;"",ROW($Q$7:$Q$165)-MIN(ROW($Q$7:$Q$165))+1,""),""),ROW()-ROW(A$167)+1))),),"")</f>
        <v/>
      </c>
      <c r="W201" s="0" t="str">
        <f aca="false">IFERROR(CONCATENATE((INDEX($Z$7:$Z$165,SMALL(IF($Z$7:$Z$165&lt;&gt;"",IF($W$7:$W$165&lt;&gt;"",ROW($W$7:$W$165)-MIN(ROW($W$7:$W$165))+1,""),""),ROW()-ROW(A$167)+1))),","),"")</f>
        <v/>
      </c>
      <c r="X201" s="0" t="str">
        <f aca="false">IFERROR(CONCATENATE(TEXT(INDEX($W$7:$W$165,SMALL(IF($Z$7:$Z$165&lt;&gt;"",IF($W$7:$W$165&lt;&gt;"",ROW($W$7:$W$165)-MIN(ROW($W$7:$W$165))+1,""),""),ROW()-ROW(A$167)+1)),"##0"),","),"")</f>
        <v/>
      </c>
      <c r="Y201" s="0" t="str">
        <f aca="false">IFERROR(CONCATENATE((INDEX($A$7:$A$165,SMALL(IF($Z$7:$Z$165&lt;&gt;"",IF($W$7:$W$165&lt;&gt;"",ROW($W$7:$W$165)-MIN(ROW($W$7:$W$165))+1,""),""),ROW()-ROW(A$167)+1))),),"")</f>
        <v/>
      </c>
    </row>
    <row r="202" customFormat="false" ht="13.8" hidden="false" customHeight="false" outlineLevel="0" collapsed="false">
      <c r="K202" s="0" t="str">
        <f aca="false">IFERROR(CONCATENATE(TEXT(INDEX($K$7:$K$165,SMALL(IF($N$7:$N$165&lt;&gt;"",IF($K$7:$K$165&lt;&gt;"",ROW($K$7:$K$165)-MIN(ROW($K$7:$K$165))+1,""),""),ROW()-ROW(A$167)+1)),"##0"),","),"")</f>
        <v/>
      </c>
      <c r="L202" s="0" t="str">
        <f aca="false">IFERROR(CONCATENATE((INDEX($N$7:$N$165,SMALL(IF($N$7:$N$165&lt;&gt;"",IF($K$7:$K$165&lt;&gt;"",ROW($K$7:$K$165)-MIN(ROW($K$7:$K$165))+1,""),""),ROW()-ROW(A$167)+1))),","),"")</f>
        <v/>
      </c>
      <c r="M202" s="0" t="str">
        <f aca="false">IFERROR(CONCATENATE((INDEX($A$7:$A$165,SMALL(IF($N$7:$N$165&lt;&gt;"",IF($K$7:$K$165&lt;&gt;"",ROW($K$7:$K$165)-MIN(ROW($K$7:$K$165))+1,""),""),ROW()-ROW(A$167)+1))),),"")</f>
        <v/>
      </c>
      <c r="Q202" s="0" t="str">
        <f aca="false">IFERROR(CONCATENATE((INDEX($T$7:$T$165,SMALL(IF($T$7:$T$165&lt;&gt;"",IF($Q$7:$Q$165&lt;&gt;"",ROW($Q$7:$Q$165)-MIN(ROW($Q$7:$Q$165))+1,""),""),ROW()-ROW(A$167)+1)))," "),"")</f>
        <v/>
      </c>
      <c r="R202" s="0" t="str">
        <f aca="false">IFERROR(CONCATENATE(TEXT(INDEX($Q$7:$Q$165,SMALL(IF($T$7:$T$165&lt;&gt;"",IF($Q$7:$Q$165&lt;&gt;"",ROW($Q$7:$Q$165)-MIN(ROW($Q$7:$Q$165))+1,""),""),ROW()-ROW(A$167)+1)),"##0")," "),"")</f>
        <v/>
      </c>
      <c r="S202" s="0" t="str">
        <f aca="false">IFERROR(CONCATENATE((INDEX($A$7:$A$165,SMALL(IF($T$7:$T$165&lt;&gt;"",IF($Q$7:$Q$165&lt;&gt;"",ROW($Q$7:$Q$165)-MIN(ROW($Q$7:$Q$165))+1,""),""),ROW()-ROW(A$167)+1))),),"")</f>
        <v/>
      </c>
      <c r="W202" s="0" t="str">
        <f aca="false">IFERROR(CONCATENATE((INDEX($Z$7:$Z$165,SMALL(IF($Z$7:$Z$165&lt;&gt;"",IF($W$7:$W$165&lt;&gt;"",ROW($W$7:$W$165)-MIN(ROW($W$7:$W$165))+1,""),""),ROW()-ROW(A$167)+1))),","),"")</f>
        <v/>
      </c>
      <c r="X202" s="0" t="str">
        <f aca="false">IFERROR(CONCATENATE(TEXT(INDEX($W$7:$W$165,SMALL(IF($Z$7:$Z$165&lt;&gt;"",IF($W$7:$W$165&lt;&gt;"",ROW($W$7:$W$165)-MIN(ROW($W$7:$W$165))+1,""),""),ROW()-ROW(A$167)+1)),"##0"),","),"")</f>
        <v/>
      </c>
      <c r="Y202" s="0" t="str">
        <f aca="false">IFERROR(CONCATENATE((INDEX($A$7:$A$165,SMALL(IF($Z$7:$Z$165&lt;&gt;"",IF($W$7:$W$165&lt;&gt;"",ROW($W$7:$W$165)-MIN(ROW($W$7:$W$165))+1,""),""),ROW()-ROW(A$167)+1))),),"")</f>
        <v/>
      </c>
    </row>
    <row r="203" customFormat="false" ht="13.8" hidden="false" customHeight="false" outlineLevel="0" collapsed="false">
      <c r="K203" s="0" t="str">
        <f aca="false">IFERROR(CONCATENATE(TEXT(INDEX($K$7:$K$165,SMALL(IF($N$7:$N$165&lt;&gt;"",IF($K$7:$K$165&lt;&gt;"",ROW($K$7:$K$165)-MIN(ROW($K$7:$K$165))+1,""),""),ROW()-ROW(A$167)+1)),"##0"),","),"")</f>
        <v/>
      </c>
      <c r="L203" s="0" t="str">
        <f aca="false">IFERROR(CONCATENATE((INDEX($N$7:$N$165,SMALL(IF($N$7:$N$165&lt;&gt;"",IF($K$7:$K$165&lt;&gt;"",ROW($K$7:$K$165)-MIN(ROW($K$7:$K$165))+1,""),""),ROW()-ROW(A$167)+1))),","),"")</f>
        <v/>
      </c>
      <c r="M203" s="0" t="str">
        <f aca="false">IFERROR(CONCATENATE((INDEX($A$7:$A$165,SMALL(IF($N$7:$N$165&lt;&gt;"",IF($K$7:$K$165&lt;&gt;"",ROW($K$7:$K$165)-MIN(ROW($K$7:$K$165))+1,""),""),ROW()-ROW(A$167)+1))),),"")</f>
        <v/>
      </c>
      <c r="Q203" s="0" t="str">
        <f aca="false">IFERROR(CONCATENATE((INDEX($T$7:$T$165,SMALL(IF($T$7:$T$165&lt;&gt;"",IF($Q$7:$Q$165&lt;&gt;"",ROW($Q$7:$Q$165)-MIN(ROW($Q$7:$Q$165))+1,""),""),ROW()-ROW(A$167)+1)))," "),"")</f>
        <v/>
      </c>
      <c r="R203" s="0" t="str">
        <f aca="false">IFERROR(CONCATENATE(TEXT(INDEX($Q$7:$Q$165,SMALL(IF($T$7:$T$165&lt;&gt;"",IF($Q$7:$Q$165&lt;&gt;"",ROW($Q$7:$Q$165)-MIN(ROW($Q$7:$Q$165))+1,""),""),ROW()-ROW(A$167)+1)),"##0")," "),"")</f>
        <v/>
      </c>
      <c r="S203" s="0" t="str">
        <f aca="false">IFERROR(CONCATENATE((INDEX($A$7:$A$165,SMALL(IF($T$7:$T$165&lt;&gt;"",IF($Q$7:$Q$165&lt;&gt;"",ROW($Q$7:$Q$165)-MIN(ROW($Q$7:$Q$165))+1,""),""),ROW()-ROW(A$167)+1))),),"")</f>
        <v/>
      </c>
      <c r="W203" s="0" t="str">
        <f aca="false">IFERROR(CONCATENATE((INDEX($Z$7:$Z$165,SMALL(IF($Z$7:$Z$165&lt;&gt;"",IF($W$7:$W$165&lt;&gt;"",ROW($W$7:$W$165)-MIN(ROW($W$7:$W$165))+1,""),""),ROW()-ROW(A$167)+1))),","),"")</f>
        <v/>
      </c>
      <c r="X203" s="0" t="str">
        <f aca="false">IFERROR(CONCATENATE(TEXT(INDEX($W$7:$W$165,SMALL(IF($Z$7:$Z$165&lt;&gt;"",IF($W$7:$W$165&lt;&gt;"",ROW($W$7:$W$165)-MIN(ROW($W$7:$W$165))+1,""),""),ROW()-ROW(A$167)+1)),"##0"),","),"")</f>
        <v/>
      </c>
      <c r="Y203" s="0" t="str">
        <f aca="false">IFERROR(CONCATENATE((INDEX($A$7:$A$165,SMALL(IF($Z$7:$Z$165&lt;&gt;"",IF($W$7:$W$165&lt;&gt;"",ROW($W$7:$W$165)-MIN(ROW($W$7:$W$165))+1,""),""),ROW()-ROW(A$167)+1))),),"")</f>
        <v/>
      </c>
    </row>
    <row r="204" customFormat="false" ht="13.8" hidden="false" customHeight="false" outlineLevel="0" collapsed="false">
      <c r="K204" s="0" t="str">
        <f aca="false">IFERROR(CONCATENATE(TEXT(INDEX($K$7:$K$165,SMALL(IF($N$7:$N$165&lt;&gt;"",IF($K$7:$K$165&lt;&gt;"",ROW($K$7:$K$165)-MIN(ROW($K$7:$K$165))+1,""),""),ROW()-ROW(A$167)+1)),"##0"),","),"")</f>
        <v/>
      </c>
      <c r="L204" s="0" t="str">
        <f aca="false">IFERROR(CONCATENATE((INDEX($N$7:$N$165,SMALL(IF($N$7:$N$165&lt;&gt;"",IF($K$7:$K$165&lt;&gt;"",ROW($K$7:$K$165)-MIN(ROW($K$7:$K$165))+1,""),""),ROW()-ROW(A$167)+1))),","),"")</f>
        <v/>
      </c>
      <c r="M204" s="0" t="str">
        <f aca="false">IFERROR(CONCATENATE((INDEX($A$7:$A$165,SMALL(IF($N$7:$N$165&lt;&gt;"",IF($K$7:$K$165&lt;&gt;"",ROW($K$7:$K$165)-MIN(ROW($K$7:$K$165))+1,""),""),ROW()-ROW(A$167)+1))),),"")</f>
        <v/>
      </c>
      <c r="Q204" s="0" t="str">
        <f aca="false">IFERROR(CONCATENATE((INDEX($T$7:$T$165,SMALL(IF($T$7:$T$165&lt;&gt;"",IF($Q$7:$Q$165&lt;&gt;"",ROW($Q$7:$Q$165)-MIN(ROW($Q$7:$Q$165))+1,""),""),ROW()-ROW(A$167)+1)))," "),"")</f>
        <v/>
      </c>
      <c r="R204" s="0" t="str">
        <f aca="false">IFERROR(CONCATENATE(TEXT(INDEX($Q$7:$Q$165,SMALL(IF($T$7:$T$165&lt;&gt;"",IF($Q$7:$Q$165&lt;&gt;"",ROW($Q$7:$Q$165)-MIN(ROW($Q$7:$Q$165))+1,""),""),ROW()-ROW(A$167)+1)),"##0")," "),"")</f>
        <v/>
      </c>
      <c r="S204" s="0" t="str">
        <f aca="false">IFERROR(CONCATENATE((INDEX($A$7:$A$165,SMALL(IF($T$7:$T$165&lt;&gt;"",IF($Q$7:$Q$165&lt;&gt;"",ROW($Q$7:$Q$165)-MIN(ROW($Q$7:$Q$165))+1,""),""),ROW()-ROW(A$167)+1))),),"")</f>
        <v/>
      </c>
      <c r="W204" s="0" t="str">
        <f aca="false">IFERROR(CONCATENATE((INDEX($Z$7:$Z$165,SMALL(IF($Z$7:$Z$165&lt;&gt;"",IF($W$7:$W$165&lt;&gt;"",ROW($W$7:$W$165)-MIN(ROW($W$7:$W$165))+1,""),""),ROW()-ROW(A$167)+1))),","),"")</f>
        <v/>
      </c>
      <c r="X204" s="0" t="str">
        <f aca="false">IFERROR(CONCATENATE(TEXT(INDEX($W$7:$W$165,SMALL(IF($Z$7:$Z$165&lt;&gt;"",IF($W$7:$W$165&lt;&gt;"",ROW($W$7:$W$165)-MIN(ROW($W$7:$W$165))+1,""),""),ROW()-ROW(A$167)+1)),"##0"),","),"")</f>
        <v/>
      </c>
      <c r="Y204" s="0" t="str">
        <f aca="false">IFERROR(CONCATENATE((INDEX($A$7:$A$165,SMALL(IF($Z$7:$Z$165&lt;&gt;"",IF($W$7:$W$165&lt;&gt;"",ROW($W$7:$W$165)-MIN(ROW($W$7:$W$165))+1,""),""),ROW()-ROW(A$167)+1))),),"")</f>
        <v/>
      </c>
    </row>
    <row r="205" customFormat="false" ht="13.8" hidden="false" customHeight="false" outlineLevel="0" collapsed="false">
      <c r="K205" s="0" t="str">
        <f aca="false">IFERROR(CONCATENATE(TEXT(INDEX($K$7:$K$165,SMALL(IF($N$7:$N$165&lt;&gt;"",IF($K$7:$K$165&lt;&gt;"",ROW($K$7:$K$165)-MIN(ROW($K$7:$K$165))+1,""),""),ROW()-ROW(A$167)+1)),"##0"),","),"")</f>
        <v/>
      </c>
      <c r="L205" s="0" t="str">
        <f aca="false">IFERROR(CONCATENATE((INDEX($N$7:$N$165,SMALL(IF($N$7:$N$165&lt;&gt;"",IF($K$7:$K$165&lt;&gt;"",ROW($K$7:$K$165)-MIN(ROW($K$7:$K$165))+1,""),""),ROW()-ROW(A$167)+1))),","),"")</f>
        <v/>
      </c>
      <c r="M205" s="0" t="str">
        <f aca="false">IFERROR(CONCATENATE((INDEX($A$7:$A$165,SMALL(IF($N$7:$N$165&lt;&gt;"",IF($K$7:$K$165&lt;&gt;"",ROW($K$7:$K$165)-MIN(ROW($K$7:$K$165))+1,""),""),ROW()-ROW(A$167)+1))),),"")</f>
        <v/>
      </c>
      <c r="Q205" s="0" t="str">
        <f aca="false">IFERROR(CONCATENATE((INDEX($T$7:$T$165,SMALL(IF($T$7:$T$165&lt;&gt;"",IF($Q$7:$Q$165&lt;&gt;"",ROW($Q$7:$Q$165)-MIN(ROW($Q$7:$Q$165))+1,""),""),ROW()-ROW(A$167)+1)))," "),"")</f>
        <v/>
      </c>
      <c r="R205" s="0" t="str">
        <f aca="false">IFERROR(CONCATENATE(TEXT(INDEX($Q$7:$Q$165,SMALL(IF($T$7:$T$165&lt;&gt;"",IF($Q$7:$Q$165&lt;&gt;"",ROW($Q$7:$Q$165)-MIN(ROW($Q$7:$Q$165))+1,""),""),ROW()-ROW(A$167)+1)),"##0")," "),"")</f>
        <v/>
      </c>
      <c r="S205" s="0" t="str">
        <f aca="false">IFERROR(CONCATENATE((INDEX($A$7:$A$165,SMALL(IF($T$7:$T$165&lt;&gt;"",IF($Q$7:$Q$165&lt;&gt;"",ROW($Q$7:$Q$165)-MIN(ROW($Q$7:$Q$165))+1,""),""),ROW()-ROW(A$167)+1))),),"")</f>
        <v/>
      </c>
      <c r="W205" s="0" t="str">
        <f aca="false">IFERROR(CONCATENATE((INDEX($Z$7:$Z$165,SMALL(IF($Z$7:$Z$165&lt;&gt;"",IF($W$7:$W$165&lt;&gt;"",ROW($W$7:$W$165)-MIN(ROW($W$7:$W$165))+1,""),""),ROW()-ROW(A$167)+1))),","),"")</f>
        <v/>
      </c>
      <c r="X205" s="0" t="str">
        <f aca="false">IFERROR(CONCATENATE(TEXT(INDEX($W$7:$W$165,SMALL(IF($Z$7:$Z$165&lt;&gt;"",IF($W$7:$W$165&lt;&gt;"",ROW($W$7:$W$165)-MIN(ROW($W$7:$W$165))+1,""),""),ROW()-ROW(A$167)+1)),"##0"),","),"")</f>
        <v/>
      </c>
      <c r="Y205" s="0" t="str">
        <f aca="false">IFERROR(CONCATENATE((INDEX($A$7:$A$165,SMALL(IF($Z$7:$Z$165&lt;&gt;"",IF($W$7:$W$165&lt;&gt;"",ROW($W$7:$W$165)-MIN(ROW($W$7:$W$165))+1,""),""),ROW()-ROW(A$167)+1))),),"")</f>
        <v/>
      </c>
    </row>
    <row r="206" customFormat="false" ht="13.8" hidden="false" customHeight="false" outlineLevel="0" collapsed="false">
      <c r="K206" s="0" t="str">
        <f aca="false">IFERROR(CONCATENATE(TEXT(INDEX($K$7:$K$165,SMALL(IF($N$7:$N$165&lt;&gt;"",IF($K$7:$K$165&lt;&gt;"",ROW($K$7:$K$165)-MIN(ROW($K$7:$K$165))+1,""),""),ROW()-ROW(A$167)+1)),"##0"),","),"")</f>
        <v/>
      </c>
      <c r="L206" s="0" t="str">
        <f aca="false">IFERROR(CONCATENATE((INDEX($N$7:$N$165,SMALL(IF($N$7:$N$165&lt;&gt;"",IF($K$7:$K$165&lt;&gt;"",ROW($K$7:$K$165)-MIN(ROW($K$7:$K$165))+1,""),""),ROW()-ROW(A$167)+1))),","),"")</f>
        <v/>
      </c>
      <c r="M206" s="0" t="str">
        <f aca="false">IFERROR(CONCATENATE((INDEX($A$7:$A$165,SMALL(IF($N$7:$N$165&lt;&gt;"",IF($K$7:$K$165&lt;&gt;"",ROW($K$7:$K$165)-MIN(ROW($K$7:$K$165))+1,""),""),ROW()-ROW(A$167)+1))),),"")</f>
        <v/>
      </c>
      <c r="Q206" s="0" t="str">
        <f aca="false">IFERROR(CONCATENATE((INDEX($T$7:$T$165,SMALL(IF($T$7:$T$165&lt;&gt;"",IF($Q$7:$Q$165&lt;&gt;"",ROW($Q$7:$Q$165)-MIN(ROW($Q$7:$Q$165))+1,""),""),ROW()-ROW(A$167)+1)))," "),"")</f>
        <v/>
      </c>
      <c r="R206" s="0" t="str">
        <f aca="false">IFERROR(CONCATENATE(TEXT(INDEX($Q$7:$Q$165,SMALL(IF($T$7:$T$165&lt;&gt;"",IF($Q$7:$Q$165&lt;&gt;"",ROW($Q$7:$Q$165)-MIN(ROW($Q$7:$Q$165))+1,""),""),ROW()-ROW(A$167)+1)),"##0")," "),"")</f>
        <v/>
      </c>
      <c r="S206" s="0" t="str">
        <f aca="false">IFERROR(CONCATENATE((INDEX($A$7:$A$165,SMALL(IF($T$7:$T$165&lt;&gt;"",IF($Q$7:$Q$165&lt;&gt;"",ROW($Q$7:$Q$165)-MIN(ROW($Q$7:$Q$165))+1,""),""),ROW()-ROW(A$167)+1))),),"")</f>
        <v/>
      </c>
      <c r="W206" s="0" t="str">
        <f aca="false">IFERROR(CONCATENATE((INDEX($Z$7:$Z$165,SMALL(IF($Z$7:$Z$165&lt;&gt;"",IF($W$7:$W$165&lt;&gt;"",ROW($W$7:$W$165)-MIN(ROW($W$7:$W$165))+1,""),""),ROW()-ROW(A$167)+1))),","),"")</f>
        <v/>
      </c>
      <c r="X206" s="0" t="str">
        <f aca="false">IFERROR(CONCATENATE(TEXT(INDEX($W$7:$W$165,SMALL(IF($Z$7:$Z$165&lt;&gt;"",IF($W$7:$W$165&lt;&gt;"",ROW($W$7:$W$165)-MIN(ROW($W$7:$W$165))+1,""),""),ROW()-ROW(A$167)+1)),"##0"),","),"")</f>
        <v/>
      </c>
      <c r="Y206" s="0" t="str">
        <f aca="false">IFERROR(CONCATENATE((INDEX($A$7:$A$165,SMALL(IF($Z$7:$Z$165&lt;&gt;"",IF($W$7:$W$165&lt;&gt;"",ROW($W$7:$W$165)-MIN(ROW($W$7:$W$165))+1,""),""),ROW()-ROW(A$167)+1))),),"")</f>
        <v/>
      </c>
    </row>
    <row r="207" customFormat="false" ht="13.8" hidden="false" customHeight="false" outlineLevel="0" collapsed="false">
      <c r="K207" s="0" t="str">
        <f aca="false">IFERROR(CONCATENATE(TEXT(INDEX($K$7:$K$165,SMALL(IF($N$7:$N$165&lt;&gt;"",IF($K$7:$K$165&lt;&gt;"",ROW($K$7:$K$165)-MIN(ROW($K$7:$K$165))+1,""),""),ROW()-ROW(A$167)+1)),"##0"),","),"")</f>
        <v/>
      </c>
      <c r="L207" s="0" t="str">
        <f aca="false">IFERROR(CONCATENATE((INDEX($N$7:$N$165,SMALL(IF($N$7:$N$165&lt;&gt;"",IF($K$7:$K$165&lt;&gt;"",ROW($K$7:$K$165)-MIN(ROW($K$7:$K$165))+1,""),""),ROW()-ROW(A$167)+1))),","),"")</f>
        <v/>
      </c>
      <c r="M207" s="0" t="str">
        <f aca="false">IFERROR(CONCATENATE((INDEX($A$7:$A$165,SMALL(IF($N$7:$N$165&lt;&gt;"",IF($K$7:$K$165&lt;&gt;"",ROW($K$7:$K$165)-MIN(ROW($K$7:$K$165))+1,""),""),ROW()-ROW(A$167)+1))),),"")</f>
        <v/>
      </c>
      <c r="Q207" s="0" t="str">
        <f aca="false">IFERROR(CONCATENATE((INDEX($T$7:$T$165,SMALL(IF($T$7:$T$165&lt;&gt;"",IF($Q$7:$Q$165&lt;&gt;"",ROW($Q$7:$Q$165)-MIN(ROW($Q$7:$Q$165))+1,""),""),ROW()-ROW(A$167)+1)))," "),"")</f>
        <v/>
      </c>
      <c r="R207" s="0" t="str">
        <f aca="false">IFERROR(CONCATENATE(TEXT(INDEX($Q$7:$Q$165,SMALL(IF($T$7:$T$165&lt;&gt;"",IF($Q$7:$Q$165&lt;&gt;"",ROW($Q$7:$Q$165)-MIN(ROW($Q$7:$Q$165))+1,""),""),ROW()-ROW(A$167)+1)),"##0")," "),"")</f>
        <v/>
      </c>
      <c r="S207" s="0" t="str">
        <f aca="false">IFERROR(CONCATENATE((INDEX($A$7:$A$165,SMALL(IF($T$7:$T$165&lt;&gt;"",IF($Q$7:$Q$165&lt;&gt;"",ROW($Q$7:$Q$165)-MIN(ROW($Q$7:$Q$165))+1,""),""),ROW()-ROW(A$167)+1))),),"")</f>
        <v/>
      </c>
      <c r="W207" s="0" t="str">
        <f aca="false">IFERROR(CONCATENATE((INDEX($Z$7:$Z$165,SMALL(IF($Z$7:$Z$165&lt;&gt;"",IF($W$7:$W$165&lt;&gt;"",ROW($W$7:$W$165)-MIN(ROW($W$7:$W$165))+1,""),""),ROW()-ROW(A$167)+1))),","),"")</f>
        <v/>
      </c>
      <c r="X207" s="0" t="str">
        <f aca="false">IFERROR(CONCATENATE(TEXT(INDEX($W$7:$W$165,SMALL(IF($Z$7:$Z$165&lt;&gt;"",IF($W$7:$W$165&lt;&gt;"",ROW($W$7:$W$165)-MIN(ROW($W$7:$W$165))+1,""),""),ROW()-ROW(A$167)+1)),"##0"),","),"")</f>
        <v/>
      </c>
      <c r="Y207" s="0" t="str">
        <f aca="false">IFERROR(CONCATENATE((INDEX($A$7:$A$165,SMALL(IF($Z$7:$Z$165&lt;&gt;"",IF($W$7:$W$165&lt;&gt;"",ROW($W$7:$W$165)-MIN(ROW($W$7:$W$165))+1,""),""),ROW()-ROW(A$167)+1))),),"")</f>
        <v/>
      </c>
    </row>
    <row r="208" customFormat="false" ht="13.8" hidden="false" customHeight="false" outlineLevel="0" collapsed="false">
      <c r="K208" s="0" t="str">
        <f aca="false">IFERROR(CONCATENATE(TEXT(INDEX($K$7:$K$165,SMALL(IF($N$7:$N$165&lt;&gt;"",IF($K$7:$K$165&lt;&gt;"",ROW($K$7:$K$165)-MIN(ROW($K$7:$K$165))+1,""),""),ROW()-ROW(A$167)+1)),"##0"),","),"")</f>
        <v/>
      </c>
      <c r="L208" s="0" t="str">
        <f aca="false">IFERROR(CONCATENATE((INDEX($N$7:$N$165,SMALL(IF($N$7:$N$165&lt;&gt;"",IF($K$7:$K$165&lt;&gt;"",ROW($K$7:$K$165)-MIN(ROW($K$7:$K$165))+1,""),""),ROW()-ROW(A$167)+1))),","),"")</f>
        <v/>
      </c>
      <c r="M208" s="0" t="str">
        <f aca="false">IFERROR(CONCATENATE((INDEX($A$7:$A$165,SMALL(IF($N$7:$N$165&lt;&gt;"",IF($K$7:$K$165&lt;&gt;"",ROW($K$7:$K$165)-MIN(ROW($K$7:$K$165))+1,""),""),ROW()-ROW(A$167)+1))),),"")</f>
        <v/>
      </c>
      <c r="Q208" s="0" t="str">
        <f aca="false">IFERROR(CONCATENATE((INDEX($T$7:$T$165,SMALL(IF($T$7:$T$165&lt;&gt;"",IF($Q$7:$Q$165&lt;&gt;"",ROW($Q$7:$Q$165)-MIN(ROW($Q$7:$Q$165))+1,""),""),ROW()-ROW(A$167)+1)))," "),"")</f>
        <v/>
      </c>
      <c r="R208" s="0" t="str">
        <f aca="false">IFERROR(CONCATENATE(TEXT(INDEX($Q$7:$Q$165,SMALL(IF($T$7:$T$165&lt;&gt;"",IF($Q$7:$Q$165&lt;&gt;"",ROW($Q$7:$Q$165)-MIN(ROW($Q$7:$Q$165))+1,""),""),ROW()-ROW(A$167)+1)),"##0")," "),"")</f>
        <v/>
      </c>
      <c r="S208" s="0" t="str">
        <f aca="false">IFERROR(CONCATENATE((INDEX($A$7:$A$165,SMALL(IF($T$7:$T$165&lt;&gt;"",IF($Q$7:$Q$165&lt;&gt;"",ROW($Q$7:$Q$165)-MIN(ROW($Q$7:$Q$165))+1,""),""),ROW()-ROW(A$167)+1))),),"")</f>
        <v/>
      </c>
      <c r="W208" s="0" t="str">
        <f aca="false">IFERROR(CONCATENATE((INDEX($Z$7:$Z$165,SMALL(IF($Z$7:$Z$165&lt;&gt;"",IF($W$7:$W$165&lt;&gt;"",ROW($W$7:$W$165)-MIN(ROW($W$7:$W$165))+1,""),""),ROW()-ROW(A$167)+1))),","),"")</f>
        <v/>
      </c>
      <c r="X208" s="0" t="str">
        <f aca="false">IFERROR(CONCATENATE(TEXT(INDEX($W$7:$W$165,SMALL(IF($Z$7:$Z$165&lt;&gt;"",IF($W$7:$W$165&lt;&gt;"",ROW($W$7:$W$165)-MIN(ROW($W$7:$W$165))+1,""),""),ROW()-ROW(A$167)+1)),"##0"),","),"")</f>
        <v/>
      </c>
      <c r="Y208" s="0" t="str">
        <f aca="false">IFERROR(CONCATENATE((INDEX($A$7:$A$165,SMALL(IF($Z$7:$Z$165&lt;&gt;"",IF($W$7:$W$165&lt;&gt;"",ROW($W$7:$W$165)-MIN(ROW($W$7:$W$165))+1,""),""),ROW()-ROW(A$167)+1))),),"")</f>
        <v/>
      </c>
    </row>
    <row r="209" customFormat="false" ht="13.8" hidden="false" customHeight="false" outlineLevel="0" collapsed="false">
      <c r="K209" s="0" t="str">
        <f aca="false">IFERROR(CONCATENATE(TEXT(INDEX($K$7:$K$165,SMALL(IF($N$7:$N$165&lt;&gt;"",IF($K$7:$K$165&lt;&gt;"",ROW($K$7:$K$165)-MIN(ROW($K$7:$K$165))+1,""),""),ROW()-ROW(A$167)+1)),"##0"),","),"")</f>
        <v/>
      </c>
      <c r="L209" s="0" t="str">
        <f aca="false">IFERROR(CONCATENATE((INDEX($N$7:$N$165,SMALL(IF($N$7:$N$165&lt;&gt;"",IF($K$7:$K$165&lt;&gt;"",ROW($K$7:$K$165)-MIN(ROW($K$7:$K$165))+1,""),""),ROW()-ROW(A$167)+1))),","),"")</f>
        <v/>
      </c>
      <c r="M209" s="0" t="str">
        <f aca="false">IFERROR(CONCATENATE((INDEX($A$7:$A$165,SMALL(IF($N$7:$N$165&lt;&gt;"",IF($K$7:$K$165&lt;&gt;"",ROW($K$7:$K$165)-MIN(ROW($K$7:$K$165))+1,""),""),ROW()-ROW(A$167)+1))),),"")</f>
        <v/>
      </c>
      <c r="Q209" s="0" t="str">
        <f aca="false">IFERROR(CONCATENATE((INDEX($T$7:$T$165,SMALL(IF($T$7:$T$165&lt;&gt;"",IF($Q$7:$Q$165&lt;&gt;"",ROW($Q$7:$Q$165)-MIN(ROW($Q$7:$Q$165))+1,""),""),ROW()-ROW(A$167)+1)))," "),"")</f>
        <v/>
      </c>
      <c r="R209" s="0" t="str">
        <f aca="false">IFERROR(CONCATENATE(TEXT(INDEX($Q$7:$Q$165,SMALL(IF($T$7:$T$165&lt;&gt;"",IF($Q$7:$Q$165&lt;&gt;"",ROW($Q$7:$Q$165)-MIN(ROW($Q$7:$Q$165))+1,""),""),ROW()-ROW(A$167)+1)),"##0")," "),"")</f>
        <v/>
      </c>
      <c r="S209" s="0" t="str">
        <f aca="false">IFERROR(CONCATENATE((INDEX($A$7:$A$165,SMALL(IF($T$7:$T$165&lt;&gt;"",IF($Q$7:$Q$165&lt;&gt;"",ROW($Q$7:$Q$165)-MIN(ROW($Q$7:$Q$165))+1,""),""),ROW()-ROW(A$167)+1))),),"")</f>
        <v/>
      </c>
      <c r="W209" s="0" t="str">
        <f aca="false">IFERROR(CONCATENATE((INDEX($Z$7:$Z$165,SMALL(IF($Z$7:$Z$165&lt;&gt;"",IF($W$7:$W$165&lt;&gt;"",ROW($W$7:$W$165)-MIN(ROW($W$7:$W$165))+1,""),""),ROW()-ROW(A$167)+1))),","),"")</f>
        <v/>
      </c>
      <c r="X209" s="0" t="str">
        <f aca="false">IFERROR(CONCATENATE(TEXT(INDEX($W$7:$W$165,SMALL(IF($Z$7:$Z$165&lt;&gt;"",IF($W$7:$W$165&lt;&gt;"",ROW($W$7:$W$165)-MIN(ROW($W$7:$W$165))+1,""),""),ROW()-ROW(A$167)+1)),"##0"),","),"")</f>
        <v/>
      </c>
      <c r="Y209" s="0" t="str">
        <f aca="false">IFERROR(CONCATENATE((INDEX($A$7:$A$165,SMALL(IF($Z$7:$Z$165&lt;&gt;"",IF($W$7:$W$165&lt;&gt;"",ROW($W$7:$W$165)-MIN(ROW($W$7:$W$165))+1,""),""),ROW()-ROW(A$167)+1))),),"")</f>
        <v/>
      </c>
    </row>
    <row r="210" customFormat="false" ht="13.8" hidden="false" customHeight="false" outlineLevel="0" collapsed="false">
      <c r="K210" s="0" t="str">
        <f aca="false">IFERROR(CONCATENATE(TEXT(INDEX($K$7:$K$165,SMALL(IF($N$7:$N$165&lt;&gt;"",IF($K$7:$K$165&lt;&gt;"",ROW($K$7:$K$165)-MIN(ROW($K$7:$K$165))+1,""),""),ROW()-ROW(A$167)+1)),"##0"),","),"")</f>
        <v/>
      </c>
      <c r="L210" s="0" t="str">
        <f aca="false">IFERROR(CONCATENATE((INDEX($N$7:$N$165,SMALL(IF($N$7:$N$165&lt;&gt;"",IF($K$7:$K$165&lt;&gt;"",ROW($K$7:$K$165)-MIN(ROW($K$7:$K$165))+1,""),""),ROW()-ROW(A$167)+1))),","),"")</f>
        <v/>
      </c>
      <c r="M210" s="0" t="str">
        <f aca="false">IFERROR(CONCATENATE((INDEX($A$7:$A$165,SMALL(IF($N$7:$N$165&lt;&gt;"",IF($K$7:$K$165&lt;&gt;"",ROW($K$7:$K$165)-MIN(ROW($K$7:$K$165))+1,""),""),ROW()-ROW(A$167)+1))),),"")</f>
        <v/>
      </c>
      <c r="Q210" s="0" t="str">
        <f aca="false">IFERROR(CONCATENATE((INDEX($T$7:$T$165,SMALL(IF($T$7:$T$165&lt;&gt;"",IF($Q$7:$Q$165&lt;&gt;"",ROW($Q$7:$Q$165)-MIN(ROW($Q$7:$Q$165))+1,""),""),ROW()-ROW(A$167)+1)))," "),"")</f>
        <v/>
      </c>
      <c r="R210" s="0" t="str">
        <f aca="false">IFERROR(CONCATENATE(TEXT(INDEX($Q$7:$Q$165,SMALL(IF($T$7:$T$165&lt;&gt;"",IF($Q$7:$Q$165&lt;&gt;"",ROW($Q$7:$Q$165)-MIN(ROW($Q$7:$Q$165))+1,""),""),ROW()-ROW(A$167)+1)),"##0")," "),"")</f>
        <v/>
      </c>
      <c r="S210" s="0" t="str">
        <f aca="false">IFERROR(CONCATENATE((INDEX($A$7:$A$165,SMALL(IF($T$7:$T$165&lt;&gt;"",IF($Q$7:$Q$165&lt;&gt;"",ROW($Q$7:$Q$165)-MIN(ROW($Q$7:$Q$165))+1,""),""),ROW()-ROW(A$167)+1))),),"")</f>
        <v/>
      </c>
      <c r="W210" s="0" t="str">
        <f aca="false">IFERROR(CONCATENATE((INDEX($Z$7:$Z$165,SMALL(IF($Z$7:$Z$165&lt;&gt;"",IF($W$7:$W$165&lt;&gt;"",ROW($W$7:$W$165)-MIN(ROW($W$7:$W$165))+1,""),""),ROW()-ROW(A$167)+1))),","),"")</f>
        <v/>
      </c>
      <c r="X210" s="0" t="str">
        <f aca="false">IFERROR(CONCATENATE(TEXT(INDEX($W$7:$W$165,SMALL(IF($Z$7:$Z$165&lt;&gt;"",IF($W$7:$W$165&lt;&gt;"",ROW($W$7:$W$165)-MIN(ROW($W$7:$W$165))+1,""),""),ROW()-ROW(A$167)+1)),"##0"),","),"")</f>
        <v/>
      </c>
      <c r="Y210" s="0" t="str">
        <f aca="false">IFERROR(CONCATENATE((INDEX($A$7:$A$165,SMALL(IF($Z$7:$Z$165&lt;&gt;"",IF($W$7:$W$165&lt;&gt;"",ROW($W$7:$W$165)-MIN(ROW($W$7:$W$165))+1,""),""),ROW()-ROW(A$167)+1))),),"")</f>
        <v/>
      </c>
    </row>
    <row r="211" customFormat="false" ht="13.8" hidden="false" customHeight="false" outlineLevel="0" collapsed="false">
      <c r="K211" s="0" t="str">
        <f aca="false">IFERROR(CONCATENATE(TEXT(INDEX($K$7:$K$165,SMALL(IF($N$7:$N$165&lt;&gt;"",IF($K$7:$K$165&lt;&gt;"",ROW($K$7:$K$165)-MIN(ROW($K$7:$K$165))+1,""),""),ROW()-ROW(A$167)+1)),"##0"),","),"")</f>
        <v/>
      </c>
      <c r="L211" s="0" t="str">
        <f aca="false">IFERROR(CONCATENATE((INDEX($N$7:$N$165,SMALL(IF($N$7:$N$165&lt;&gt;"",IF($K$7:$K$165&lt;&gt;"",ROW($K$7:$K$165)-MIN(ROW($K$7:$K$165))+1,""),""),ROW()-ROW(A$167)+1))),","),"")</f>
        <v/>
      </c>
      <c r="M211" s="0" t="str">
        <f aca="false">IFERROR(CONCATENATE((INDEX($A$7:$A$165,SMALL(IF($N$7:$N$165&lt;&gt;"",IF($K$7:$K$165&lt;&gt;"",ROW($K$7:$K$165)-MIN(ROW($K$7:$K$165))+1,""),""),ROW()-ROW(A$167)+1))),),"")</f>
        <v/>
      </c>
      <c r="Q211" s="0" t="str">
        <f aca="false">IFERROR(CONCATENATE((INDEX($T$7:$T$165,SMALL(IF($T$7:$T$165&lt;&gt;"",IF($Q$7:$Q$165&lt;&gt;"",ROW($Q$7:$Q$165)-MIN(ROW($Q$7:$Q$165))+1,""),""),ROW()-ROW(A$167)+1)))," "),"")</f>
        <v/>
      </c>
      <c r="R211" s="0" t="str">
        <f aca="false">IFERROR(CONCATENATE(TEXT(INDEX($Q$7:$Q$165,SMALL(IF($T$7:$T$165&lt;&gt;"",IF($Q$7:$Q$165&lt;&gt;"",ROW($Q$7:$Q$165)-MIN(ROW($Q$7:$Q$165))+1,""),""),ROW()-ROW(A$167)+1)),"##0")," "),"")</f>
        <v/>
      </c>
      <c r="S211" s="0" t="str">
        <f aca="false">IFERROR(CONCATENATE((INDEX($A$7:$A$165,SMALL(IF($T$7:$T$165&lt;&gt;"",IF($Q$7:$Q$165&lt;&gt;"",ROW($Q$7:$Q$165)-MIN(ROW($Q$7:$Q$165))+1,""),""),ROW()-ROW(A$167)+1))),),"")</f>
        <v/>
      </c>
      <c r="W211" s="0" t="str">
        <f aca="false">IFERROR(CONCATENATE((INDEX($Z$7:$Z$165,SMALL(IF($Z$7:$Z$165&lt;&gt;"",IF($W$7:$W$165&lt;&gt;"",ROW($W$7:$W$165)-MIN(ROW($W$7:$W$165))+1,""),""),ROW()-ROW(A$167)+1))),","),"")</f>
        <v/>
      </c>
      <c r="X211" s="0" t="str">
        <f aca="false">IFERROR(CONCATENATE(TEXT(INDEX($W$7:$W$165,SMALL(IF($Z$7:$Z$165&lt;&gt;"",IF($W$7:$W$165&lt;&gt;"",ROW($W$7:$W$165)-MIN(ROW($W$7:$W$165))+1,""),""),ROW()-ROW(A$167)+1)),"##0"),","),"")</f>
        <v/>
      </c>
      <c r="Y211" s="0" t="str">
        <f aca="false">IFERROR(CONCATENATE((INDEX($A$7:$A$165,SMALL(IF($Z$7:$Z$165&lt;&gt;"",IF($W$7:$W$165&lt;&gt;"",ROW($W$7:$W$165)-MIN(ROW($W$7:$W$165))+1,""),""),ROW()-ROW(A$167)+1))),),"")</f>
        <v/>
      </c>
    </row>
    <row r="212" customFormat="false" ht="13.8" hidden="false" customHeight="false" outlineLevel="0" collapsed="false">
      <c r="K212" s="0" t="str">
        <f aca="false">IFERROR(CONCATENATE(TEXT(INDEX($K$7:$K$165,SMALL(IF($N$7:$N$165&lt;&gt;"",IF($K$7:$K$165&lt;&gt;"",ROW($K$7:$K$165)-MIN(ROW($K$7:$K$165))+1,""),""),ROW()-ROW(A$167)+1)),"##0"),","),"")</f>
        <v/>
      </c>
      <c r="L212" s="0" t="str">
        <f aca="false">IFERROR(CONCATENATE((INDEX($N$7:$N$165,SMALL(IF($N$7:$N$165&lt;&gt;"",IF($K$7:$K$165&lt;&gt;"",ROW($K$7:$K$165)-MIN(ROW($K$7:$K$165))+1,""),""),ROW()-ROW(A$167)+1))),","),"")</f>
        <v/>
      </c>
      <c r="M212" s="0" t="str">
        <f aca="false">IFERROR(CONCATENATE((INDEX($A$7:$A$165,SMALL(IF($N$7:$N$165&lt;&gt;"",IF($K$7:$K$165&lt;&gt;"",ROW($K$7:$K$165)-MIN(ROW($K$7:$K$165))+1,""),""),ROW()-ROW(A$167)+1))),),"")</f>
        <v/>
      </c>
      <c r="Q212" s="0" t="str">
        <f aca="false">IFERROR(CONCATENATE((INDEX($T$7:$T$165,SMALL(IF($T$7:$T$165&lt;&gt;"",IF($Q$7:$Q$165&lt;&gt;"",ROW($Q$7:$Q$165)-MIN(ROW($Q$7:$Q$165))+1,""),""),ROW()-ROW(A$167)+1)))," "),"")</f>
        <v/>
      </c>
      <c r="R212" s="0" t="str">
        <f aca="false">IFERROR(CONCATENATE(TEXT(INDEX($Q$7:$Q$165,SMALL(IF($T$7:$T$165&lt;&gt;"",IF($Q$7:$Q$165&lt;&gt;"",ROW($Q$7:$Q$165)-MIN(ROW($Q$7:$Q$165))+1,""),""),ROW()-ROW(A$167)+1)),"##0")," "),"")</f>
        <v/>
      </c>
      <c r="S212" s="0" t="str">
        <f aca="false">IFERROR(CONCATENATE((INDEX($A$7:$A$165,SMALL(IF($T$7:$T$165&lt;&gt;"",IF($Q$7:$Q$165&lt;&gt;"",ROW($Q$7:$Q$165)-MIN(ROW($Q$7:$Q$165))+1,""),""),ROW()-ROW(A$167)+1))),),"")</f>
        <v/>
      </c>
      <c r="W212" s="0" t="str">
        <f aca="false">IFERROR(CONCATENATE((INDEX($Z$7:$Z$165,SMALL(IF($Z$7:$Z$165&lt;&gt;"",IF($W$7:$W$165&lt;&gt;"",ROW($W$7:$W$165)-MIN(ROW($W$7:$W$165))+1,""),""),ROW()-ROW(A$167)+1))),","),"")</f>
        <v/>
      </c>
      <c r="X212" s="0" t="str">
        <f aca="false">IFERROR(CONCATENATE(TEXT(INDEX($W$7:$W$165,SMALL(IF($Z$7:$Z$165&lt;&gt;"",IF($W$7:$W$165&lt;&gt;"",ROW($W$7:$W$165)-MIN(ROW($W$7:$W$165))+1,""),""),ROW()-ROW(A$167)+1)),"##0"),","),"")</f>
        <v/>
      </c>
      <c r="Y212" s="0" t="str">
        <f aca="false">IFERROR(CONCATENATE((INDEX($A$7:$A$165,SMALL(IF($Z$7:$Z$165&lt;&gt;"",IF($W$7:$W$165&lt;&gt;"",ROW($W$7:$W$165)-MIN(ROW($W$7:$W$165))+1,""),""),ROW()-ROW(A$167)+1))),),"")</f>
        <v/>
      </c>
    </row>
    <row r="213" customFormat="false" ht="13.8" hidden="false" customHeight="false" outlineLevel="0" collapsed="false">
      <c r="K213" s="0" t="str">
        <f aca="false">IFERROR(CONCATENATE(TEXT(INDEX($K$7:$K$165,SMALL(IF($N$7:$N$165&lt;&gt;"",IF($K$7:$K$165&lt;&gt;"",ROW($K$7:$K$165)-MIN(ROW($K$7:$K$165))+1,""),""),ROW()-ROW(A$167)+1)),"##0"),","),"")</f>
        <v/>
      </c>
      <c r="L213" s="0" t="str">
        <f aca="false">IFERROR(CONCATENATE((INDEX($N$7:$N$165,SMALL(IF($N$7:$N$165&lt;&gt;"",IF($K$7:$K$165&lt;&gt;"",ROW($K$7:$K$165)-MIN(ROW($K$7:$K$165))+1,""),""),ROW()-ROW(A$167)+1))),","),"")</f>
        <v/>
      </c>
      <c r="M213" s="0" t="str">
        <f aca="false">IFERROR(CONCATENATE((INDEX($A$7:$A$165,SMALL(IF($N$7:$N$165&lt;&gt;"",IF($K$7:$K$165&lt;&gt;"",ROW($K$7:$K$165)-MIN(ROW($K$7:$K$165))+1,""),""),ROW()-ROW(A$167)+1))),),"")</f>
        <v/>
      </c>
      <c r="Q213" s="0" t="str">
        <f aca="false">IFERROR(CONCATENATE((INDEX($T$7:$T$165,SMALL(IF($T$7:$T$165&lt;&gt;"",IF($Q$7:$Q$165&lt;&gt;"",ROW($Q$7:$Q$165)-MIN(ROW($Q$7:$Q$165))+1,""),""),ROW()-ROW(A$167)+1)))," "),"")</f>
        <v/>
      </c>
      <c r="R213" s="0" t="str">
        <f aca="false">IFERROR(CONCATENATE(TEXT(INDEX($Q$7:$Q$165,SMALL(IF($T$7:$T$165&lt;&gt;"",IF($Q$7:$Q$165&lt;&gt;"",ROW($Q$7:$Q$165)-MIN(ROW($Q$7:$Q$165))+1,""),""),ROW()-ROW(A$167)+1)),"##0")," "),"")</f>
        <v/>
      </c>
      <c r="S213" s="0" t="str">
        <f aca="false">IFERROR(CONCATENATE((INDEX($A$7:$A$165,SMALL(IF($T$7:$T$165&lt;&gt;"",IF($Q$7:$Q$165&lt;&gt;"",ROW($Q$7:$Q$165)-MIN(ROW($Q$7:$Q$165))+1,""),""),ROW()-ROW(A$167)+1))),),"")</f>
        <v/>
      </c>
      <c r="W213" s="0" t="str">
        <f aca="false">IFERROR(CONCATENATE((INDEX($Z$7:$Z$165,SMALL(IF($Z$7:$Z$165&lt;&gt;"",IF($W$7:$W$165&lt;&gt;"",ROW($W$7:$W$165)-MIN(ROW($W$7:$W$165))+1,""),""),ROW()-ROW(A$167)+1))),","),"")</f>
        <v/>
      </c>
      <c r="X213" s="0" t="str">
        <f aca="false">IFERROR(CONCATENATE(TEXT(INDEX($W$7:$W$165,SMALL(IF($Z$7:$Z$165&lt;&gt;"",IF($W$7:$W$165&lt;&gt;"",ROW($W$7:$W$165)-MIN(ROW($W$7:$W$165))+1,""),""),ROW()-ROW(A$167)+1)),"##0"),","),"")</f>
        <v/>
      </c>
      <c r="Y213" s="0" t="str">
        <f aca="false">IFERROR(CONCATENATE((INDEX($A$7:$A$165,SMALL(IF($Z$7:$Z$165&lt;&gt;"",IF($W$7:$W$165&lt;&gt;"",ROW($W$7:$W$165)-MIN(ROW($W$7:$W$165))+1,""),""),ROW()-ROW(A$167)+1))),),"")</f>
        <v/>
      </c>
    </row>
    <row r="214" customFormat="false" ht="13.8" hidden="false" customHeight="false" outlineLevel="0" collapsed="false">
      <c r="K214" s="0" t="str">
        <f aca="false">IFERROR(CONCATENATE(TEXT(INDEX($K$7:$K$165,SMALL(IF($N$7:$N$165&lt;&gt;"",IF($K$7:$K$165&lt;&gt;"",ROW($K$7:$K$165)-MIN(ROW($K$7:$K$165))+1,""),""),ROW()-ROW(A$167)+1)),"##0"),","),"")</f>
        <v/>
      </c>
      <c r="L214" s="0" t="str">
        <f aca="false">IFERROR(CONCATENATE((INDEX($N$7:$N$165,SMALL(IF($N$7:$N$165&lt;&gt;"",IF($K$7:$K$165&lt;&gt;"",ROW($K$7:$K$165)-MIN(ROW($K$7:$K$165))+1,""),""),ROW()-ROW(A$167)+1))),","),"")</f>
        <v/>
      </c>
      <c r="M214" s="0" t="str">
        <f aca="false">IFERROR(CONCATENATE((INDEX($A$7:$A$165,SMALL(IF($N$7:$N$165&lt;&gt;"",IF($K$7:$K$165&lt;&gt;"",ROW($K$7:$K$165)-MIN(ROW($K$7:$K$165))+1,""),""),ROW()-ROW(A$167)+1))),),"")</f>
        <v/>
      </c>
      <c r="Q214" s="0" t="str">
        <f aca="false">IFERROR(CONCATENATE((INDEX($T$7:$T$165,SMALL(IF($T$7:$T$165&lt;&gt;"",IF($Q$7:$Q$165&lt;&gt;"",ROW($Q$7:$Q$165)-MIN(ROW($Q$7:$Q$165))+1,""),""),ROW()-ROW(A$167)+1)))," "),"")</f>
        <v/>
      </c>
      <c r="R214" s="0" t="str">
        <f aca="false">IFERROR(CONCATENATE(TEXT(INDEX($Q$7:$Q$165,SMALL(IF($T$7:$T$165&lt;&gt;"",IF($Q$7:$Q$165&lt;&gt;"",ROW($Q$7:$Q$165)-MIN(ROW($Q$7:$Q$165))+1,""),""),ROW()-ROW(A$167)+1)),"##0")," "),"")</f>
        <v/>
      </c>
      <c r="S214" s="0" t="str">
        <f aca="false">IFERROR(CONCATENATE((INDEX($A$7:$A$165,SMALL(IF($T$7:$T$165&lt;&gt;"",IF($Q$7:$Q$165&lt;&gt;"",ROW($Q$7:$Q$165)-MIN(ROW($Q$7:$Q$165))+1,""),""),ROW()-ROW(A$167)+1))),),"")</f>
        <v/>
      </c>
      <c r="W214" s="0" t="str">
        <f aca="false">IFERROR(CONCATENATE((INDEX($Z$7:$Z$165,SMALL(IF($Z$7:$Z$165&lt;&gt;"",IF($W$7:$W$165&lt;&gt;"",ROW($W$7:$W$165)-MIN(ROW($W$7:$W$165))+1,""),""),ROW()-ROW(A$167)+1))),","),"")</f>
        <v/>
      </c>
      <c r="X214" s="0" t="str">
        <f aca="false">IFERROR(CONCATENATE(TEXT(INDEX($W$7:$W$165,SMALL(IF($Z$7:$Z$165&lt;&gt;"",IF($W$7:$W$165&lt;&gt;"",ROW($W$7:$W$165)-MIN(ROW($W$7:$W$165))+1,""),""),ROW()-ROW(A$167)+1)),"##0"),","),"")</f>
        <v/>
      </c>
      <c r="Y214" s="0" t="str">
        <f aca="false">IFERROR(CONCATENATE((INDEX($A$7:$A$165,SMALL(IF($Z$7:$Z$165&lt;&gt;"",IF($W$7:$W$165&lt;&gt;"",ROW($W$7:$W$165)-MIN(ROW($W$7:$W$165))+1,""),""),ROW()-ROW(A$167)+1))),),"")</f>
        <v/>
      </c>
    </row>
    <row r="215" customFormat="false" ht="13.8" hidden="false" customHeight="false" outlineLevel="0" collapsed="false">
      <c r="K215" s="0" t="str">
        <f aca="false">IFERROR(CONCATENATE(TEXT(INDEX($K$7:$K$165,SMALL(IF($N$7:$N$165&lt;&gt;"",IF($K$7:$K$165&lt;&gt;"",ROW($K$7:$K$165)-MIN(ROW($K$7:$K$165))+1,""),""),ROW()-ROW(A$167)+1)),"##0"),","),"")</f>
        <v/>
      </c>
      <c r="L215" s="0" t="str">
        <f aca="false">IFERROR(CONCATENATE((INDEX($N$7:$N$165,SMALL(IF($N$7:$N$165&lt;&gt;"",IF($K$7:$K$165&lt;&gt;"",ROW($K$7:$K$165)-MIN(ROW($K$7:$K$165))+1,""),""),ROW()-ROW(A$167)+1))),","),"")</f>
        <v/>
      </c>
      <c r="M215" s="0" t="str">
        <f aca="false">IFERROR(CONCATENATE((INDEX($A$7:$A$165,SMALL(IF($N$7:$N$165&lt;&gt;"",IF($K$7:$K$165&lt;&gt;"",ROW($K$7:$K$165)-MIN(ROW($K$7:$K$165))+1,""),""),ROW()-ROW(A$167)+1))),),"")</f>
        <v/>
      </c>
      <c r="Q215" s="0" t="str">
        <f aca="false">IFERROR(CONCATENATE((INDEX($T$7:$T$165,SMALL(IF($T$7:$T$165&lt;&gt;"",IF($Q$7:$Q$165&lt;&gt;"",ROW($Q$7:$Q$165)-MIN(ROW($Q$7:$Q$165))+1,""),""),ROW()-ROW(A$167)+1)))," "),"")</f>
        <v/>
      </c>
      <c r="R215" s="0" t="str">
        <f aca="false">IFERROR(CONCATENATE(TEXT(INDEX($Q$7:$Q$165,SMALL(IF($T$7:$T$165&lt;&gt;"",IF($Q$7:$Q$165&lt;&gt;"",ROW($Q$7:$Q$165)-MIN(ROW($Q$7:$Q$165))+1,""),""),ROW()-ROW(A$167)+1)),"##0")," "),"")</f>
        <v/>
      </c>
      <c r="S215" s="0" t="str">
        <f aca="false">IFERROR(CONCATENATE((INDEX($A$7:$A$165,SMALL(IF($T$7:$T$165&lt;&gt;"",IF($Q$7:$Q$165&lt;&gt;"",ROW($Q$7:$Q$165)-MIN(ROW($Q$7:$Q$165))+1,""),""),ROW()-ROW(A$167)+1))),),"")</f>
        <v/>
      </c>
      <c r="W215" s="0" t="str">
        <f aca="false">IFERROR(CONCATENATE((INDEX($Z$7:$Z$165,SMALL(IF($Z$7:$Z$165&lt;&gt;"",IF($W$7:$W$165&lt;&gt;"",ROW($W$7:$W$165)-MIN(ROW($W$7:$W$165))+1,""),""),ROW()-ROW(A$167)+1))),","),"")</f>
        <v/>
      </c>
      <c r="X215" s="0" t="str">
        <f aca="false">IFERROR(CONCATENATE(TEXT(INDEX($W$7:$W$165,SMALL(IF($Z$7:$Z$165&lt;&gt;"",IF($W$7:$W$165&lt;&gt;"",ROW($W$7:$W$165)-MIN(ROW($W$7:$W$165))+1,""),""),ROW()-ROW(A$167)+1)),"##0"),","),"")</f>
        <v/>
      </c>
      <c r="Y215" s="0" t="str">
        <f aca="false">IFERROR(CONCATENATE((INDEX($A$7:$A$165,SMALL(IF($Z$7:$Z$165&lt;&gt;"",IF($W$7:$W$165&lt;&gt;"",ROW($W$7:$W$165)-MIN(ROW($W$7:$W$165))+1,""),""),ROW()-ROW(A$167)+1))),),"")</f>
        <v/>
      </c>
    </row>
    <row r="216" customFormat="false" ht="13.8" hidden="false" customHeight="false" outlineLevel="0" collapsed="false">
      <c r="K216" s="0" t="str">
        <f aca="false">IFERROR(CONCATENATE(TEXT(INDEX($K$7:$K$165,SMALL(IF($N$7:$N$165&lt;&gt;"",IF($K$7:$K$165&lt;&gt;"",ROW($K$7:$K$165)-MIN(ROW($K$7:$K$165))+1,""),""),ROW()-ROW(A$167)+1)),"##0"),","),"")</f>
        <v/>
      </c>
      <c r="L216" s="0" t="str">
        <f aca="false">IFERROR(CONCATENATE((INDEX($N$7:$N$165,SMALL(IF($N$7:$N$165&lt;&gt;"",IF($K$7:$K$165&lt;&gt;"",ROW($K$7:$K$165)-MIN(ROW($K$7:$K$165))+1,""),""),ROW()-ROW(A$167)+1))),","),"")</f>
        <v/>
      </c>
      <c r="M216" s="0" t="str">
        <f aca="false">IFERROR(CONCATENATE((INDEX($A$7:$A$165,SMALL(IF($N$7:$N$165&lt;&gt;"",IF($K$7:$K$165&lt;&gt;"",ROW($K$7:$K$165)-MIN(ROW($K$7:$K$165))+1,""),""),ROW()-ROW(A$167)+1))),),"")</f>
        <v/>
      </c>
      <c r="Q216" s="0" t="str">
        <f aca="false">IFERROR(CONCATENATE((INDEX($T$7:$T$165,SMALL(IF($T$7:$T$165&lt;&gt;"",IF($Q$7:$Q$165&lt;&gt;"",ROW($Q$7:$Q$165)-MIN(ROW($Q$7:$Q$165))+1,""),""),ROW()-ROW(A$167)+1)))," "),"")</f>
        <v/>
      </c>
      <c r="R216" s="0" t="str">
        <f aca="false">IFERROR(CONCATENATE(TEXT(INDEX($Q$7:$Q$165,SMALL(IF($T$7:$T$165&lt;&gt;"",IF($Q$7:$Q$165&lt;&gt;"",ROW($Q$7:$Q$165)-MIN(ROW($Q$7:$Q$165))+1,""),""),ROW()-ROW(A$167)+1)),"##0")," "),"")</f>
        <v/>
      </c>
      <c r="S216" s="0" t="str">
        <f aca="false">IFERROR(CONCATENATE((INDEX($A$7:$A$165,SMALL(IF($T$7:$T$165&lt;&gt;"",IF($Q$7:$Q$165&lt;&gt;"",ROW($Q$7:$Q$165)-MIN(ROW($Q$7:$Q$165))+1,""),""),ROW()-ROW(A$167)+1))),),"")</f>
        <v/>
      </c>
      <c r="W216" s="0" t="str">
        <f aca="false">IFERROR(CONCATENATE((INDEX($Z$7:$Z$165,SMALL(IF($Z$7:$Z$165&lt;&gt;"",IF($W$7:$W$165&lt;&gt;"",ROW($W$7:$W$165)-MIN(ROW($W$7:$W$165))+1,""),""),ROW()-ROW(A$167)+1))),","),"")</f>
        <v/>
      </c>
      <c r="X216" s="0" t="str">
        <f aca="false">IFERROR(CONCATENATE(TEXT(INDEX($W$7:$W$165,SMALL(IF($Z$7:$Z$165&lt;&gt;"",IF($W$7:$W$165&lt;&gt;"",ROW($W$7:$W$165)-MIN(ROW($W$7:$W$165))+1,""),""),ROW()-ROW(A$167)+1)),"##0"),","),"")</f>
        <v/>
      </c>
      <c r="Y216" s="0" t="str">
        <f aca="false">IFERROR(CONCATENATE((INDEX($A$7:$A$165,SMALL(IF($Z$7:$Z$165&lt;&gt;"",IF($W$7:$W$165&lt;&gt;"",ROW($W$7:$W$165)-MIN(ROW($W$7:$W$165))+1,""),""),ROW()-ROW(A$167)+1))),),"")</f>
        <v/>
      </c>
    </row>
    <row r="217" customFormat="false" ht="13.8" hidden="false" customHeight="false" outlineLevel="0" collapsed="false">
      <c r="K217" s="0" t="str">
        <f aca="false">IFERROR(CONCATENATE(TEXT(INDEX($K$7:$K$165,SMALL(IF($N$7:$N$165&lt;&gt;"",IF($K$7:$K$165&lt;&gt;"",ROW($K$7:$K$165)-MIN(ROW($K$7:$K$165))+1,""),""),ROW()-ROW(A$167)+1)),"##0"),","),"")</f>
        <v/>
      </c>
      <c r="L217" s="0" t="str">
        <f aca="false">IFERROR(CONCATENATE((INDEX($N$7:$N$165,SMALL(IF($N$7:$N$165&lt;&gt;"",IF($K$7:$K$165&lt;&gt;"",ROW($K$7:$K$165)-MIN(ROW($K$7:$K$165))+1,""),""),ROW()-ROW(A$167)+1))),","),"")</f>
        <v/>
      </c>
      <c r="M217" s="0" t="str">
        <f aca="false">IFERROR(CONCATENATE((INDEX($A$7:$A$165,SMALL(IF($N$7:$N$165&lt;&gt;"",IF($K$7:$K$165&lt;&gt;"",ROW($K$7:$K$165)-MIN(ROW($K$7:$K$165))+1,""),""),ROW()-ROW(A$167)+1))),),"")</f>
        <v/>
      </c>
      <c r="Q217" s="0" t="str">
        <f aca="false">IFERROR(CONCATENATE((INDEX($T$7:$T$165,SMALL(IF($T$7:$T$165&lt;&gt;"",IF($Q$7:$Q$165&lt;&gt;"",ROW($Q$7:$Q$165)-MIN(ROW($Q$7:$Q$165))+1,""),""),ROW()-ROW(A$167)+1)))," "),"")</f>
        <v/>
      </c>
      <c r="R217" s="0" t="str">
        <f aca="false">IFERROR(CONCATENATE(TEXT(INDEX($Q$7:$Q$165,SMALL(IF($T$7:$T$165&lt;&gt;"",IF($Q$7:$Q$165&lt;&gt;"",ROW($Q$7:$Q$165)-MIN(ROW($Q$7:$Q$165))+1,""),""),ROW()-ROW(A$167)+1)),"##0")," "),"")</f>
        <v/>
      </c>
      <c r="S217" s="0" t="str">
        <f aca="false">IFERROR(CONCATENATE((INDEX($A$7:$A$165,SMALL(IF($T$7:$T$165&lt;&gt;"",IF($Q$7:$Q$165&lt;&gt;"",ROW($Q$7:$Q$165)-MIN(ROW($Q$7:$Q$165))+1,""),""),ROW()-ROW(A$167)+1))),),"")</f>
        <v/>
      </c>
      <c r="W217" s="0" t="str">
        <f aca="false">IFERROR(CONCATENATE((INDEX($Z$7:$Z$165,SMALL(IF($Z$7:$Z$165&lt;&gt;"",IF($W$7:$W$165&lt;&gt;"",ROW($W$7:$W$165)-MIN(ROW($W$7:$W$165))+1,""),""),ROW()-ROW(A$167)+1))),","),"")</f>
        <v/>
      </c>
      <c r="X217" s="0" t="str">
        <f aca="false">IFERROR(CONCATENATE(TEXT(INDEX($W$7:$W$165,SMALL(IF($Z$7:$Z$165&lt;&gt;"",IF($W$7:$W$165&lt;&gt;"",ROW($W$7:$W$165)-MIN(ROW($W$7:$W$165))+1,""),""),ROW()-ROW(A$167)+1)),"##0"),","),"")</f>
        <v/>
      </c>
      <c r="Y217" s="0" t="str">
        <f aca="false">IFERROR(CONCATENATE((INDEX($A$7:$A$165,SMALL(IF($Z$7:$Z$165&lt;&gt;"",IF($W$7:$W$165&lt;&gt;"",ROW($W$7:$W$165)-MIN(ROW($W$7:$W$165))+1,""),""),ROW()-ROW(A$167)+1))),),"")</f>
        <v/>
      </c>
    </row>
    <row r="218" customFormat="false" ht="13.8" hidden="false" customHeight="false" outlineLevel="0" collapsed="false">
      <c r="K218" s="0" t="str">
        <f aca="false">IFERROR(CONCATENATE(TEXT(INDEX($K$7:$K$165,SMALL(IF($N$7:$N$165&lt;&gt;"",IF($K$7:$K$165&lt;&gt;"",ROW($K$7:$K$165)-MIN(ROW($K$7:$K$165))+1,""),""),ROW()-ROW(A$167)+1)),"##0"),","),"")</f>
        <v/>
      </c>
      <c r="L218" s="0" t="str">
        <f aca="false">IFERROR(CONCATENATE((INDEX($N$7:$N$165,SMALL(IF($N$7:$N$165&lt;&gt;"",IF($K$7:$K$165&lt;&gt;"",ROW($K$7:$K$165)-MIN(ROW($K$7:$K$165))+1,""),""),ROW()-ROW(A$167)+1))),","),"")</f>
        <v/>
      </c>
      <c r="M218" s="0" t="str">
        <f aca="false">IFERROR(CONCATENATE((INDEX($A$7:$A$165,SMALL(IF($N$7:$N$165&lt;&gt;"",IF($K$7:$K$165&lt;&gt;"",ROW($K$7:$K$165)-MIN(ROW($K$7:$K$165))+1,""),""),ROW()-ROW(A$167)+1))),),"")</f>
        <v/>
      </c>
      <c r="Q218" s="0" t="str">
        <f aca="false">IFERROR(CONCATENATE((INDEX($T$7:$T$165,SMALL(IF($T$7:$T$165&lt;&gt;"",IF($Q$7:$Q$165&lt;&gt;"",ROW($Q$7:$Q$165)-MIN(ROW($Q$7:$Q$165))+1,""),""),ROW()-ROW(A$167)+1)))," "),"")</f>
        <v/>
      </c>
      <c r="R218" s="0" t="str">
        <f aca="false">IFERROR(CONCATENATE(TEXT(INDEX($Q$7:$Q$165,SMALL(IF($T$7:$T$165&lt;&gt;"",IF($Q$7:$Q$165&lt;&gt;"",ROW($Q$7:$Q$165)-MIN(ROW($Q$7:$Q$165))+1,""),""),ROW()-ROW(A$167)+1)),"##0")," "),"")</f>
        <v/>
      </c>
      <c r="S218" s="0" t="str">
        <f aca="false">IFERROR(CONCATENATE((INDEX($A$7:$A$165,SMALL(IF($T$7:$T$165&lt;&gt;"",IF($Q$7:$Q$165&lt;&gt;"",ROW($Q$7:$Q$165)-MIN(ROW($Q$7:$Q$165))+1,""),""),ROW()-ROW(A$167)+1))),),"")</f>
        <v/>
      </c>
      <c r="W218" s="0" t="str">
        <f aca="false">IFERROR(CONCATENATE((INDEX($Z$7:$Z$165,SMALL(IF($Z$7:$Z$165&lt;&gt;"",IF($W$7:$W$165&lt;&gt;"",ROW($W$7:$W$165)-MIN(ROW($W$7:$W$165))+1,""),""),ROW()-ROW(A$167)+1))),","),"")</f>
        <v/>
      </c>
      <c r="X218" s="0" t="str">
        <f aca="false">IFERROR(CONCATENATE(TEXT(INDEX($W$7:$W$165,SMALL(IF($Z$7:$Z$165&lt;&gt;"",IF($W$7:$W$165&lt;&gt;"",ROW($W$7:$W$165)-MIN(ROW($W$7:$W$165))+1,""),""),ROW()-ROW(A$167)+1)),"##0"),","),"")</f>
        <v/>
      </c>
      <c r="Y218" s="0" t="str">
        <f aca="false">IFERROR(CONCATENATE((INDEX($A$7:$A$165,SMALL(IF($Z$7:$Z$165&lt;&gt;"",IF($W$7:$W$165&lt;&gt;"",ROW($W$7:$W$165)-MIN(ROW($W$7:$W$165))+1,""),""),ROW()-ROW(A$167)+1))),),"")</f>
        <v/>
      </c>
    </row>
    <row r="219" customFormat="false" ht="13.8" hidden="false" customHeight="false" outlineLevel="0" collapsed="false">
      <c r="K219" s="0" t="str">
        <f aca="false">IFERROR(CONCATENATE(TEXT(INDEX($K$7:$K$165,SMALL(IF($N$7:$N$165&lt;&gt;"",IF($K$7:$K$165&lt;&gt;"",ROW($K$7:$K$165)-MIN(ROW($K$7:$K$165))+1,""),""),ROW()-ROW(A$167)+1)),"##0"),","),"")</f>
        <v/>
      </c>
      <c r="L219" s="0" t="str">
        <f aca="false">IFERROR(CONCATENATE((INDEX($N$7:$N$165,SMALL(IF($N$7:$N$165&lt;&gt;"",IF($K$7:$K$165&lt;&gt;"",ROW($K$7:$K$165)-MIN(ROW($K$7:$K$165))+1,""),""),ROW()-ROW(A$167)+1))),","),"")</f>
        <v/>
      </c>
      <c r="M219" s="0" t="str">
        <f aca="false">IFERROR(CONCATENATE((INDEX($A$7:$A$165,SMALL(IF($N$7:$N$165&lt;&gt;"",IF($K$7:$K$165&lt;&gt;"",ROW($K$7:$K$165)-MIN(ROW($K$7:$K$165))+1,""),""),ROW()-ROW(A$167)+1))),),"")</f>
        <v/>
      </c>
      <c r="Q219" s="0" t="str">
        <f aca="false">IFERROR(CONCATENATE((INDEX($T$7:$T$165,SMALL(IF($T$7:$T$165&lt;&gt;"",IF($Q$7:$Q$165&lt;&gt;"",ROW($Q$7:$Q$165)-MIN(ROW($Q$7:$Q$165))+1,""),""),ROW()-ROW(A$167)+1)))," "),"")</f>
        <v/>
      </c>
      <c r="R219" s="0" t="str">
        <f aca="false">IFERROR(CONCATENATE(TEXT(INDEX($Q$7:$Q$165,SMALL(IF($T$7:$T$165&lt;&gt;"",IF($Q$7:$Q$165&lt;&gt;"",ROW($Q$7:$Q$165)-MIN(ROW($Q$7:$Q$165))+1,""),""),ROW()-ROW(A$167)+1)),"##0")," "),"")</f>
        <v/>
      </c>
      <c r="S219" s="0" t="str">
        <f aca="false">IFERROR(CONCATENATE((INDEX($A$7:$A$165,SMALL(IF($T$7:$T$165&lt;&gt;"",IF($Q$7:$Q$165&lt;&gt;"",ROW($Q$7:$Q$165)-MIN(ROW($Q$7:$Q$165))+1,""),""),ROW()-ROW(A$167)+1))),),"")</f>
        <v/>
      </c>
      <c r="W219" s="0" t="str">
        <f aca="false">IFERROR(CONCATENATE((INDEX($Z$7:$Z$165,SMALL(IF($Z$7:$Z$165&lt;&gt;"",IF($W$7:$W$165&lt;&gt;"",ROW($W$7:$W$165)-MIN(ROW($W$7:$W$165))+1,""),""),ROW()-ROW(A$167)+1))),","),"")</f>
        <v/>
      </c>
      <c r="X219" s="0" t="str">
        <f aca="false">IFERROR(CONCATENATE(TEXT(INDEX($W$7:$W$165,SMALL(IF($Z$7:$Z$165&lt;&gt;"",IF($W$7:$W$165&lt;&gt;"",ROW($W$7:$W$165)-MIN(ROW($W$7:$W$165))+1,""),""),ROW()-ROW(A$167)+1)),"##0"),","),"")</f>
        <v/>
      </c>
      <c r="Y219" s="0" t="str">
        <f aca="false">IFERROR(CONCATENATE((INDEX($A$7:$A$165,SMALL(IF($Z$7:$Z$165&lt;&gt;"",IF($W$7:$W$165&lt;&gt;"",ROW($W$7:$W$165)-MIN(ROW($W$7:$W$165))+1,""),""),ROW()-ROW(A$167)+1))),),"")</f>
        <v/>
      </c>
    </row>
    <row r="220" customFormat="false" ht="13.8" hidden="false" customHeight="false" outlineLevel="0" collapsed="false">
      <c r="K220" s="0" t="str">
        <f aca="false">IFERROR(CONCATENATE(TEXT(INDEX($K$7:$K$165,SMALL(IF($N$7:$N$165&lt;&gt;"",IF($K$7:$K$165&lt;&gt;"",ROW($K$7:$K$165)-MIN(ROW($K$7:$K$165))+1,""),""),ROW()-ROW(A$167)+1)),"##0"),","),"")</f>
        <v/>
      </c>
      <c r="L220" s="0" t="str">
        <f aca="false">IFERROR(CONCATENATE((INDEX($N$7:$N$165,SMALL(IF($N$7:$N$165&lt;&gt;"",IF($K$7:$K$165&lt;&gt;"",ROW($K$7:$K$165)-MIN(ROW($K$7:$K$165))+1,""),""),ROW()-ROW(A$167)+1))),","),"")</f>
        <v/>
      </c>
      <c r="M220" s="0" t="str">
        <f aca="false">IFERROR(CONCATENATE((INDEX($A$7:$A$165,SMALL(IF($N$7:$N$165&lt;&gt;"",IF($K$7:$K$165&lt;&gt;"",ROW($K$7:$K$165)-MIN(ROW($K$7:$K$165))+1,""),""),ROW()-ROW(A$167)+1))),),"")</f>
        <v/>
      </c>
      <c r="Q220" s="0" t="str">
        <f aca="false">IFERROR(CONCATENATE((INDEX($T$7:$T$165,SMALL(IF($T$7:$T$165&lt;&gt;"",IF($Q$7:$Q$165&lt;&gt;"",ROW($Q$7:$Q$165)-MIN(ROW($Q$7:$Q$165))+1,""),""),ROW()-ROW(A$167)+1)))," "),"")</f>
        <v/>
      </c>
      <c r="R220" s="0" t="str">
        <f aca="false">IFERROR(CONCATENATE(TEXT(INDEX($Q$7:$Q$165,SMALL(IF($T$7:$T$165&lt;&gt;"",IF($Q$7:$Q$165&lt;&gt;"",ROW($Q$7:$Q$165)-MIN(ROW($Q$7:$Q$165))+1,""),""),ROW()-ROW(A$167)+1)),"##0")," "),"")</f>
        <v/>
      </c>
      <c r="S220" s="0" t="str">
        <f aca="false">IFERROR(CONCATENATE((INDEX($A$7:$A$165,SMALL(IF($T$7:$T$165&lt;&gt;"",IF($Q$7:$Q$165&lt;&gt;"",ROW($Q$7:$Q$165)-MIN(ROW($Q$7:$Q$165))+1,""),""),ROW()-ROW(A$167)+1))),),"")</f>
        <v/>
      </c>
      <c r="W220" s="0" t="str">
        <f aca="false">IFERROR(CONCATENATE((INDEX($Z$7:$Z$165,SMALL(IF($Z$7:$Z$165&lt;&gt;"",IF($W$7:$W$165&lt;&gt;"",ROW($W$7:$W$165)-MIN(ROW($W$7:$W$165))+1,""),""),ROW()-ROW(A$167)+1))),","),"")</f>
        <v/>
      </c>
      <c r="X220" s="0" t="str">
        <f aca="false">IFERROR(CONCATENATE(TEXT(INDEX($W$7:$W$165,SMALL(IF($Z$7:$Z$165&lt;&gt;"",IF($W$7:$W$165&lt;&gt;"",ROW($W$7:$W$165)-MIN(ROW($W$7:$W$165))+1,""),""),ROW()-ROW(A$167)+1)),"##0"),","),"")</f>
        <v/>
      </c>
      <c r="Y220" s="0" t="str">
        <f aca="false">IFERROR(CONCATENATE((INDEX($A$7:$A$165,SMALL(IF($Z$7:$Z$165&lt;&gt;"",IF($W$7:$W$165&lt;&gt;"",ROW($W$7:$W$165)-MIN(ROW($W$7:$W$165))+1,""),""),ROW()-ROW(A$167)+1))),),"")</f>
        <v/>
      </c>
    </row>
    <row r="221" customFormat="false" ht="13.8" hidden="false" customHeight="false" outlineLevel="0" collapsed="false">
      <c r="K221" s="0" t="str">
        <f aca="false">IFERROR(CONCATENATE(TEXT(INDEX($K$7:$K$165,SMALL(IF($N$7:$N$165&lt;&gt;"",IF($K$7:$K$165&lt;&gt;"",ROW($K$7:$K$165)-MIN(ROW($K$7:$K$165))+1,""),""),ROW()-ROW(A$167)+1)),"##0"),","),"")</f>
        <v/>
      </c>
      <c r="L221" s="0" t="str">
        <f aca="false">IFERROR(CONCATENATE((INDEX($N$7:$N$165,SMALL(IF($N$7:$N$165&lt;&gt;"",IF($K$7:$K$165&lt;&gt;"",ROW($K$7:$K$165)-MIN(ROW($K$7:$K$165))+1,""),""),ROW()-ROW(A$167)+1))),","),"")</f>
        <v/>
      </c>
      <c r="M221" s="0" t="str">
        <f aca="false">IFERROR(CONCATENATE((INDEX($A$7:$A$165,SMALL(IF($N$7:$N$165&lt;&gt;"",IF($K$7:$K$165&lt;&gt;"",ROW($K$7:$K$165)-MIN(ROW($K$7:$K$165))+1,""),""),ROW()-ROW(A$167)+1))),),"")</f>
        <v/>
      </c>
      <c r="Q221" s="0" t="str">
        <f aca="false">IFERROR(CONCATENATE((INDEX($T$7:$T$165,SMALL(IF($T$7:$T$165&lt;&gt;"",IF($Q$7:$Q$165&lt;&gt;"",ROW($Q$7:$Q$165)-MIN(ROW($Q$7:$Q$165))+1,""),""),ROW()-ROW(A$167)+1)))," "),"")</f>
        <v/>
      </c>
      <c r="R221" s="0" t="str">
        <f aca="false">IFERROR(CONCATENATE(TEXT(INDEX($Q$7:$Q$165,SMALL(IF($T$7:$T$165&lt;&gt;"",IF($Q$7:$Q$165&lt;&gt;"",ROW($Q$7:$Q$165)-MIN(ROW($Q$7:$Q$165))+1,""),""),ROW()-ROW(A$167)+1)),"##0")," "),"")</f>
        <v/>
      </c>
      <c r="S221" s="0" t="str">
        <f aca="false">IFERROR(CONCATENATE((INDEX($A$7:$A$165,SMALL(IF($T$7:$T$165&lt;&gt;"",IF($Q$7:$Q$165&lt;&gt;"",ROW($Q$7:$Q$165)-MIN(ROW($Q$7:$Q$165))+1,""),""),ROW()-ROW(A$167)+1))),),"")</f>
        <v/>
      </c>
      <c r="W221" s="0" t="str">
        <f aca="false">IFERROR(CONCATENATE((INDEX($Z$7:$Z$165,SMALL(IF($Z$7:$Z$165&lt;&gt;"",IF($W$7:$W$165&lt;&gt;"",ROW($W$7:$W$165)-MIN(ROW($W$7:$W$165))+1,""),""),ROW()-ROW(A$167)+1))),","),"")</f>
        <v/>
      </c>
      <c r="X221" s="0" t="str">
        <f aca="false">IFERROR(CONCATENATE(TEXT(INDEX($W$7:$W$165,SMALL(IF($Z$7:$Z$165&lt;&gt;"",IF($W$7:$W$165&lt;&gt;"",ROW($W$7:$W$165)-MIN(ROW($W$7:$W$165))+1,""),""),ROW()-ROW(A$167)+1)),"##0"),","),"")</f>
        <v/>
      </c>
      <c r="Y221" s="0" t="str">
        <f aca="false">IFERROR(CONCATENATE((INDEX($A$7:$A$165,SMALL(IF($Z$7:$Z$165&lt;&gt;"",IF($W$7:$W$165&lt;&gt;"",ROW($W$7:$W$165)-MIN(ROW($W$7:$W$165))+1,""),""),ROW()-ROW(A$167)+1))),),"")</f>
        <v/>
      </c>
    </row>
    <row r="222" customFormat="false" ht="13.8" hidden="false" customHeight="false" outlineLevel="0" collapsed="false">
      <c r="K222" s="0" t="str">
        <f aca="false">IFERROR(CONCATENATE(TEXT(INDEX($K$7:$K$165,SMALL(IF($N$7:$N$165&lt;&gt;"",IF($K$7:$K$165&lt;&gt;"",ROW($K$7:$K$165)-MIN(ROW($K$7:$K$165))+1,""),""),ROW()-ROW(A$167)+1)),"##0"),","),"")</f>
        <v/>
      </c>
      <c r="L222" s="0" t="str">
        <f aca="false">IFERROR(CONCATENATE((INDEX($N$7:$N$165,SMALL(IF($N$7:$N$165&lt;&gt;"",IF($K$7:$K$165&lt;&gt;"",ROW($K$7:$K$165)-MIN(ROW($K$7:$K$165))+1,""),""),ROW()-ROW(A$167)+1))),","),"")</f>
        <v/>
      </c>
      <c r="M222" s="0" t="str">
        <f aca="false">IFERROR(CONCATENATE((INDEX($A$7:$A$165,SMALL(IF($N$7:$N$165&lt;&gt;"",IF($K$7:$K$165&lt;&gt;"",ROW($K$7:$K$165)-MIN(ROW($K$7:$K$165))+1,""),""),ROW()-ROW(A$167)+1))),),"")</f>
        <v/>
      </c>
      <c r="Q222" s="0" t="str">
        <f aca="false">IFERROR(CONCATENATE((INDEX($T$7:$T$165,SMALL(IF($T$7:$T$165&lt;&gt;"",IF($Q$7:$Q$165&lt;&gt;"",ROW($Q$7:$Q$165)-MIN(ROW($Q$7:$Q$165))+1,""),""),ROW()-ROW(A$167)+1)))," "),"")</f>
        <v/>
      </c>
      <c r="R222" s="0" t="str">
        <f aca="false">IFERROR(CONCATENATE(TEXT(INDEX($Q$7:$Q$165,SMALL(IF($T$7:$T$165&lt;&gt;"",IF($Q$7:$Q$165&lt;&gt;"",ROW($Q$7:$Q$165)-MIN(ROW($Q$7:$Q$165))+1,""),""),ROW()-ROW(A$167)+1)),"##0")," "),"")</f>
        <v/>
      </c>
      <c r="S222" s="0" t="str">
        <f aca="false">IFERROR(CONCATENATE((INDEX($A$7:$A$165,SMALL(IF($T$7:$T$165&lt;&gt;"",IF($Q$7:$Q$165&lt;&gt;"",ROW($Q$7:$Q$165)-MIN(ROW($Q$7:$Q$165))+1,""),""),ROW()-ROW(A$167)+1))),),"")</f>
        <v/>
      </c>
      <c r="W222" s="0" t="str">
        <f aca="false">IFERROR(CONCATENATE((INDEX($Z$7:$Z$165,SMALL(IF($Z$7:$Z$165&lt;&gt;"",IF($W$7:$W$165&lt;&gt;"",ROW($W$7:$W$165)-MIN(ROW($W$7:$W$165))+1,""),""),ROW()-ROW(A$167)+1))),","),"")</f>
        <v/>
      </c>
      <c r="X222" s="0" t="str">
        <f aca="false">IFERROR(CONCATENATE(TEXT(INDEX($W$7:$W$165,SMALL(IF($Z$7:$Z$165&lt;&gt;"",IF($W$7:$W$165&lt;&gt;"",ROW($W$7:$W$165)-MIN(ROW($W$7:$W$165))+1,""),""),ROW()-ROW(A$167)+1)),"##0"),","),"")</f>
        <v/>
      </c>
      <c r="Y222" s="0" t="str">
        <f aca="false">IFERROR(CONCATENATE((INDEX($A$7:$A$165,SMALL(IF($Z$7:$Z$165&lt;&gt;"",IF($W$7:$W$165&lt;&gt;"",ROW($W$7:$W$165)-MIN(ROW($W$7:$W$165))+1,""),""),ROW()-ROW(A$167)+1))),),"")</f>
        <v/>
      </c>
    </row>
    <row r="223" customFormat="false" ht="13.8" hidden="false" customHeight="false" outlineLevel="0" collapsed="false">
      <c r="K223" s="0" t="str">
        <f aca="false">IFERROR(CONCATENATE(TEXT(INDEX($K$7:$K$165,SMALL(IF($N$7:$N$165&lt;&gt;"",IF($K$7:$K$165&lt;&gt;"",ROW($K$7:$K$165)-MIN(ROW($K$7:$K$165))+1,""),""),ROW()-ROW(A$167)+1)),"##0"),","),"")</f>
        <v/>
      </c>
      <c r="L223" s="0" t="str">
        <f aca="false">IFERROR(CONCATENATE((INDEX($N$7:$N$165,SMALL(IF($N$7:$N$165&lt;&gt;"",IF($K$7:$K$165&lt;&gt;"",ROW($K$7:$K$165)-MIN(ROW($K$7:$K$165))+1,""),""),ROW()-ROW(A$167)+1))),","),"")</f>
        <v/>
      </c>
      <c r="M223" s="0" t="str">
        <f aca="false">IFERROR(CONCATENATE((INDEX($A$7:$A$165,SMALL(IF($N$7:$N$165&lt;&gt;"",IF($K$7:$K$165&lt;&gt;"",ROW($K$7:$K$165)-MIN(ROW($K$7:$K$165))+1,""),""),ROW()-ROW(A$167)+1))),),"")</f>
        <v/>
      </c>
      <c r="Q223" s="0" t="str">
        <f aca="false">IFERROR(CONCATENATE((INDEX($T$7:$T$165,SMALL(IF($T$7:$T$165&lt;&gt;"",IF($Q$7:$Q$165&lt;&gt;"",ROW($Q$7:$Q$165)-MIN(ROW($Q$7:$Q$165))+1,""),""),ROW()-ROW(A$167)+1)))," "),"")</f>
        <v/>
      </c>
      <c r="R223" s="0" t="str">
        <f aca="false">IFERROR(CONCATENATE(TEXT(INDEX($Q$7:$Q$165,SMALL(IF($T$7:$T$165&lt;&gt;"",IF($Q$7:$Q$165&lt;&gt;"",ROW($Q$7:$Q$165)-MIN(ROW($Q$7:$Q$165))+1,""),""),ROW()-ROW(A$167)+1)),"##0")," "),"")</f>
        <v/>
      </c>
      <c r="S223" s="0" t="str">
        <f aca="false">IFERROR(CONCATENATE((INDEX($A$7:$A$165,SMALL(IF($T$7:$T$165&lt;&gt;"",IF($Q$7:$Q$165&lt;&gt;"",ROW($Q$7:$Q$165)-MIN(ROW($Q$7:$Q$165))+1,""),""),ROW()-ROW(A$167)+1))),),"")</f>
        <v/>
      </c>
      <c r="W223" s="0" t="str">
        <f aca="false">IFERROR(CONCATENATE((INDEX($Z$7:$Z$165,SMALL(IF($Z$7:$Z$165&lt;&gt;"",IF($W$7:$W$165&lt;&gt;"",ROW($W$7:$W$165)-MIN(ROW($W$7:$W$165))+1,""),""),ROW()-ROW(A$167)+1))),","),"")</f>
        <v/>
      </c>
      <c r="X223" s="0" t="str">
        <f aca="false">IFERROR(CONCATENATE(TEXT(INDEX($W$7:$W$165,SMALL(IF($Z$7:$Z$165&lt;&gt;"",IF($W$7:$W$165&lt;&gt;"",ROW($W$7:$W$165)-MIN(ROW($W$7:$W$165))+1,""),""),ROW()-ROW(A$167)+1)),"##0"),","),"")</f>
        <v/>
      </c>
      <c r="Y223" s="0" t="str">
        <f aca="false">IFERROR(CONCATENATE((INDEX($A$7:$A$165,SMALL(IF($Z$7:$Z$165&lt;&gt;"",IF($W$7:$W$165&lt;&gt;"",ROW($W$7:$W$165)-MIN(ROW($W$7:$W$165))+1,""),""),ROW()-ROW(A$167)+1))),),"")</f>
        <v/>
      </c>
    </row>
    <row r="224" customFormat="false" ht="13.8" hidden="false" customHeight="false" outlineLevel="0" collapsed="false">
      <c r="K224" s="0" t="str">
        <f aca="false">IFERROR(CONCATENATE(TEXT(INDEX($K$7:$K$165,SMALL(IF($N$7:$N$165&lt;&gt;"",IF($K$7:$K$165&lt;&gt;"",ROW($K$7:$K$165)-MIN(ROW($K$7:$K$165))+1,""),""),ROW()-ROW(A$167)+1)),"##0"),","),"")</f>
        <v/>
      </c>
      <c r="L224" s="0" t="str">
        <f aca="false">IFERROR(CONCATENATE((INDEX($N$7:$N$165,SMALL(IF($N$7:$N$165&lt;&gt;"",IF($K$7:$K$165&lt;&gt;"",ROW($K$7:$K$165)-MIN(ROW($K$7:$K$165))+1,""),""),ROW()-ROW(A$167)+1))),","),"")</f>
        <v/>
      </c>
      <c r="M224" s="0" t="str">
        <f aca="false">IFERROR(CONCATENATE((INDEX($A$7:$A$165,SMALL(IF($N$7:$N$165&lt;&gt;"",IF($K$7:$K$165&lt;&gt;"",ROW($K$7:$K$165)-MIN(ROW($K$7:$K$165))+1,""),""),ROW()-ROW(A$167)+1))),),"")</f>
        <v/>
      </c>
      <c r="Q224" s="0" t="str">
        <f aca="false">IFERROR(CONCATENATE((INDEX($T$7:$T$165,SMALL(IF($T$7:$T$165&lt;&gt;"",IF($Q$7:$Q$165&lt;&gt;"",ROW($Q$7:$Q$165)-MIN(ROW($Q$7:$Q$165))+1,""),""),ROW()-ROW(A$167)+1)))," "),"")</f>
        <v/>
      </c>
      <c r="R224" s="0" t="str">
        <f aca="false">IFERROR(CONCATENATE(TEXT(INDEX($Q$7:$Q$165,SMALL(IF($T$7:$T$165&lt;&gt;"",IF($Q$7:$Q$165&lt;&gt;"",ROW($Q$7:$Q$165)-MIN(ROW($Q$7:$Q$165))+1,""),""),ROW()-ROW(A$167)+1)),"##0")," "),"")</f>
        <v/>
      </c>
      <c r="S224" s="0" t="str">
        <f aca="false">IFERROR(CONCATENATE((INDEX($A$7:$A$165,SMALL(IF($T$7:$T$165&lt;&gt;"",IF($Q$7:$Q$165&lt;&gt;"",ROW($Q$7:$Q$165)-MIN(ROW($Q$7:$Q$165))+1,""),""),ROW()-ROW(A$167)+1))),),"")</f>
        <v/>
      </c>
      <c r="W224" s="0" t="str">
        <f aca="false">IFERROR(CONCATENATE((INDEX($Z$7:$Z$165,SMALL(IF($Z$7:$Z$165&lt;&gt;"",IF($W$7:$W$165&lt;&gt;"",ROW($W$7:$W$165)-MIN(ROW($W$7:$W$165))+1,""),""),ROW()-ROW(A$167)+1))),","),"")</f>
        <v/>
      </c>
      <c r="X224" s="0" t="str">
        <f aca="false">IFERROR(CONCATENATE(TEXT(INDEX($W$7:$W$165,SMALL(IF($Z$7:$Z$165&lt;&gt;"",IF($W$7:$W$165&lt;&gt;"",ROW($W$7:$W$165)-MIN(ROW($W$7:$W$165))+1,""),""),ROW()-ROW(A$167)+1)),"##0"),","),"")</f>
        <v/>
      </c>
      <c r="Y224" s="0" t="str">
        <f aca="false">IFERROR(CONCATENATE((INDEX($A$7:$A$165,SMALL(IF($Z$7:$Z$165&lt;&gt;"",IF($W$7:$W$165&lt;&gt;"",ROW($W$7:$W$165)-MIN(ROW($W$7:$W$165))+1,""),""),ROW()-ROW(A$167)+1))),),"")</f>
        <v/>
      </c>
    </row>
    <row r="225" customFormat="false" ht="13.8" hidden="false" customHeight="false" outlineLevel="0" collapsed="false">
      <c r="K225" s="0" t="str">
        <f aca="false">IFERROR(CONCATENATE(TEXT(INDEX($K$7:$K$165,SMALL(IF($N$7:$N$165&lt;&gt;"",IF($K$7:$K$165&lt;&gt;"",ROW($K$7:$K$165)-MIN(ROW($K$7:$K$165))+1,""),""),ROW()-ROW(A$167)+1)),"##0"),","),"")</f>
        <v/>
      </c>
      <c r="L225" s="0" t="str">
        <f aca="false">IFERROR(CONCATENATE((INDEX($N$7:$N$165,SMALL(IF($N$7:$N$165&lt;&gt;"",IF($K$7:$K$165&lt;&gt;"",ROW($K$7:$K$165)-MIN(ROW($K$7:$K$165))+1,""),""),ROW()-ROW(A$167)+1))),","),"")</f>
        <v/>
      </c>
      <c r="M225" s="0" t="str">
        <f aca="false">IFERROR(CONCATENATE((INDEX($A$7:$A$165,SMALL(IF($N$7:$N$165&lt;&gt;"",IF($K$7:$K$165&lt;&gt;"",ROW($K$7:$K$165)-MIN(ROW($K$7:$K$165))+1,""),""),ROW()-ROW(A$167)+1))),),"")</f>
        <v/>
      </c>
      <c r="Q225" s="0" t="str">
        <f aca="false">IFERROR(CONCATENATE((INDEX($T$7:$T$165,SMALL(IF($T$7:$T$165&lt;&gt;"",IF($Q$7:$Q$165&lt;&gt;"",ROW($Q$7:$Q$165)-MIN(ROW($Q$7:$Q$165))+1,""),""),ROW()-ROW(A$167)+1)))," "),"")</f>
        <v/>
      </c>
      <c r="R225" s="0" t="str">
        <f aca="false">IFERROR(CONCATENATE(TEXT(INDEX($Q$7:$Q$165,SMALL(IF($T$7:$T$165&lt;&gt;"",IF($Q$7:$Q$165&lt;&gt;"",ROW($Q$7:$Q$165)-MIN(ROW($Q$7:$Q$165))+1,""),""),ROW()-ROW(A$167)+1)),"##0")," "),"")</f>
        <v/>
      </c>
      <c r="S225" s="0" t="str">
        <f aca="false">IFERROR(CONCATENATE((INDEX($A$7:$A$165,SMALL(IF($T$7:$T$165&lt;&gt;"",IF($Q$7:$Q$165&lt;&gt;"",ROW($Q$7:$Q$165)-MIN(ROW($Q$7:$Q$165))+1,""),""),ROW()-ROW(A$167)+1))),),"")</f>
        <v/>
      </c>
      <c r="W225" s="0" t="str">
        <f aca="false">IFERROR(CONCATENATE((INDEX($Z$7:$Z$165,SMALL(IF($Z$7:$Z$165&lt;&gt;"",IF($W$7:$W$165&lt;&gt;"",ROW($W$7:$W$165)-MIN(ROW($W$7:$W$165))+1,""),""),ROW()-ROW(A$167)+1))),","),"")</f>
        <v/>
      </c>
      <c r="X225" s="0" t="str">
        <f aca="false">IFERROR(CONCATENATE(TEXT(INDEX($W$7:$W$165,SMALL(IF($Z$7:$Z$165&lt;&gt;"",IF($W$7:$W$165&lt;&gt;"",ROW($W$7:$W$165)-MIN(ROW($W$7:$W$165))+1,""),""),ROW()-ROW(A$167)+1)),"##0"),","),"")</f>
        <v/>
      </c>
      <c r="Y225" s="0" t="str">
        <f aca="false">IFERROR(CONCATENATE((INDEX($A$7:$A$165,SMALL(IF($Z$7:$Z$165&lt;&gt;"",IF($W$7:$W$165&lt;&gt;"",ROW($W$7:$W$165)-MIN(ROW($W$7:$W$165))+1,""),""),ROW()-ROW(A$167)+1))),),"")</f>
        <v/>
      </c>
    </row>
    <row r="226" customFormat="false" ht="13.8" hidden="false" customHeight="false" outlineLevel="0" collapsed="false">
      <c r="K226" s="0" t="str">
        <f aca="false">IFERROR(CONCATENATE(TEXT(INDEX($K$7:$K$165,SMALL(IF($N$7:$N$165&lt;&gt;"",IF($K$7:$K$165&lt;&gt;"",ROW($K$7:$K$165)-MIN(ROW($K$7:$K$165))+1,""),""),ROW()-ROW(A$167)+1)),"##0"),","),"")</f>
        <v/>
      </c>
      <c r="L226" s="0" t="str">
        <f aca="false">IFERROR(CONCATENATE((INDEX($N$7:$N$165,SMALL(IF($N$7:$N$165&lt;&gt;"",IF($K$7:$K$165&lt;&gt;"",ROW($K$7:$K$165)-MIN(ROW($K$7:$K$165))+1,""),""),ROW()-ROW(A$167)+1))),","),"")</f>
        <v/>
      </c>
      <c r="M226" s="0" t="str">
        <f aca="false">IFERROR(CONCATENATE((INDEX($A$7:$A$165,SMALL(IF($N$7:$N$165&lt;&gt;"",IF($K$7:$K$165&lt;&gt;"",ROW($K$7:$K$165)-MIN(ROW($K$7:$K$165))+1,""),""),ROW()-ROW(A$167)+1))),),"")</f>
        <v/>
      </c>
      <c r="Q226" s="0" t="str">
        <f aca="false">IFERROR(CONCATENATE((INDEX($T$7:$T$165,SMALL(IF($T$7:$T$165&lt;&gt;"",IF($Q$7:$Q$165&lt;&gt;"",ROW($Q$7:$Q$165)-MIN(ROW($Q$7:$Q$165))+1,""),""),ROW()-ROW(A$167)+1)))," "),"")</f>
        <v/>
      </c>
      <c r="R226" s="0" t="str">
        <f aca="false">IFERROR(CONCATENATE(TEXT(INDEX($Q$7:$Q$165,SMALL(IF($T$7:$T$165&lt;&gt;"",IF($Q$7:$Q$165&lt;&gt;"",ROW($Q$7:$Q$165)-MIN(ROW($Q$7:$Q$165))+1,""),""),ROW()-ROW(A$167)+1)),"##0")," "),"")</f>
        <v/>
      </c>
      <c r="S226" s="0" t="str">
        <f aca="false">IFERROR(CONCATENATE((INDEX($A$7:$A$165,SMALL(IF($T$7:$T$165&lt;&gt;"",IF($Q$7:$Q$165&lt;&gt;"",ROW($Q$7:$Q$165)-MIN(ROW($Q$7:$Q$165))+1,""),""),ROW()-ROW(A$167)+1))),),"")</f>
        <v/>
      </c>
      <c r="W226" s="0" t="str">
        <f aca="false">IFERROR(CONCATENATE((INDEX($Z$7:$Z$165,SMALL(IF($Z$7:$Z$165&lt;&gt;"",IF($W$7:$W$165&lt;&gt;"",ROW($W$7:$W$165)-MIN(ROW($W$7:$W$165))+1,""),""),ROW()-ROW(A$167)+1))),","),"")</f>
        <v/>
      </c>
      <c r="X226" s="0" t="str">
        <f aca="false">IFERROR(CONCATENATE(TEXT(INDEX($W$7:$W$165,SMALL(IF($Z$7:$Z$165&lt;&gt;"",IF($W$7:$W$165&lt;&gt;"",ROW($W$7:$W$165)-MIN(ROW($W$7:$W$165))+1,""),""),ROW()-ROW(A$167)+1)),"##0"),","),"")</f>
        <v/>
      </c>
      <c r="Y226" s="0" t="str">
        <f aca="false">IFERROR(CONCATENATE((INDEX($A$7:$A$165,SMALL(IF($Z$7:$Z$165&lt;&gt;"",IF($W$7:$W$165&lt;&gt;"",ROW($W$7:$W$165)-MIN(ROW($W$7:$W$165))+1,""),""),ROW()-ROW(A$167)+1))),),"")</f>
        <v/>
      </c>
    </row>
    <row r="227" customFormat="false" ht="13.8" hidden="false" customHeight="false" outlineLevel="0" collapsed="false">
      <c r="K227" s="0" t="str">
        <f aca="false">IFERROR(CONCATENATE(TEXT(INDEX($K$7:$K$165,SMALL(IF($N$7:$N$165&lt;&gt;"",IF($K$7:$K$165&lt;&gt;"",ROW($K$7:$K$165)-MIN(ROW($K$7:$K$165))+1,""),""),ROW()-ROW(A$167)+1)),"##0"),","),"")</f>
        <v/>
      </c>
      <c r="L227" s="0" t="str">
        <f aca="false">IFERROR(CONCATENATE((INDEX($N$7:$N$165,SMALL(IF($N$7:$N$165&lt;&gt;"",IF($K$7:$K$165&lt;&gt;"",ROW($K$7:$K$165)-MIN(ROW($K$7:$K$165))+1,""),""),ROW()-ROW(A$167)+1))),","),"")</f>
        <v/>
      </c>
      <c r="M227" s="0" t="str">
        <f aca="false">IFERROR(CONCATENATE((INDEX($A$7:$A$165,SMALL(IF($N$7:$N$165&lt;&gt;"",IF($K$7:$K$165&lt;&gt;"",ROW($K$7:$K$165)-MIN(ROW($K$7:$K$165))+1,""),""),ROW()-ROW(A$167)+1))),),"")</f>
        <v/>
      </c>
      <c r="Q227" s="0" t="str">
        <f aca="false">IFERROR(CONCATENATE((INDEX($T$7:$T$165,SMALL(IF($T$7:$T$165&lt;&gt;"",IF($Q$7:$Q$165&lt;&gt;"",ROW($Q$7:$Q$165)-MIN(ROW($Q$7:$Q$165))+1,""),""),ROW()-ROW(A$167)+1)))," "),"")</f>
        <v/>
      </c>
      <c r="R227" s="0" t="str">
        <f aca="false">IFERROR(CONCATENATE(TEXT(INDEX($Q$7:$Q$165,SMALL(IF($T$7:$T$165&lt;&gt;"",IF($Q$7:$Q$165&lt;&gt;"",ROW($Q$7:$Q$165)-MIN(ROW($Q$7:$Q$165))+1,""),""),ROW()-ROW(A$167)+1)),"##0")," "),"")</f>
        <v/>
      </c>
      <c r="S227" s="0" t="str">
        <f aca="false">IFERROR(CONCATENATE((INDEX($A$7:$A$165,SMALL(IF($T$7:$T$165&lt;&gt;"",IF($Q$7:$Q$165&lt;&gt;"",ROW($Q$7:$Q$165)-MIN(ROW($Q$7:$Q$165))+1,""),""),ROW()-ROW(A$167)+1))),),"")</f>
        <v/>
      </c>
      <c r="W227" s="0" t="str">
        <f aca="false">IFERROR(CONCATENATE((INDEX($Z$7:$Z$165,SMALL(IF($Z$7:$Z$165&lt;&gt;"",IF($W$7:$W$165&lt;&gt;"",ROW($W$7:$W$165)-MIN(ROW($W$7:$W$165))+1,""),""),ROW()-ROW(A$167)+1))),","),"")</f>
        <v/>
      </c>
      <c r="X227" s="0" t="str">
        <f aca="false">IFERROR(CONCATENATE(TEXT(INDEX($W$7:$W$165,SMALL(IF($Z$7:$Z$165&lt;&gt;"",IF($W$7:$W$165&lt;&gt;"",ROW($W$7:$W$165)-MIN(ROW($W$7:$W$165))+1,""),""),ROW()-ROW(A$167)+1)),"##0"),","),"")</f>
        <v/>
      </c>
      <c r="Y227" s="0" t="str">
        <f aca="false">IFERROR(CONCATENATE((INDEX($A$7:$A$165,SMALL(IF($Z$7:$Z$165&lt;&gt;"",IF($W$7:$W$165&lt;&gt;"",ROW($W$7:$W$165)-MIN(ROW($W$7:$W$165))+1,""),""),ROW()-ROW(A$167)+1))),),"")</f>
        <v/>
      </c>
    </row>
    <row r="228" customFormat="false" ht="13.8" hidden="false" customHeight="false" outlineLevel="0" collapsed="false">
      <c r="K228" s="0" t="str">
        <f aca="false">IFERROR(CONCATENATE(TEXT(INDEX($K$7:$K$165,SMALL(IF($N$7:$N$165&lt;&gt;"",IF($K$7:$K$165&lt;&gt;"",ROW($K$7:$K$165)-MIN(ROW($K$7:$K$165))+1,""),""),ROW()-ROW(A$167)+1)),"##0"),","),"")</f>
        <v/>
      </c>
      <c r="L228" s="0" t="str">
        <f aca="false">IFERROR(CONCATENATE((INDEX($N$7:$N$165,SMALL(IF($N$7:$N$165&lt;&gt;"",IF($K$7:$K$165&lt;&gt;"",ROW($K$7:$K$165)-MIN(ROW($K$7:$K$165))+1,""),""),ROW()-ROW(A$167)+1))),","),"")</f>
        <v/>
      </c>
      <c r="M228" s="0" t="str">
        <f aca="false">IFERROR(CONCATENATE((INDEX($A$7:$A$165,SMALL(IF($N$7:$N$165&lt;&gt;"",IF($K$7:$K$165&lt;&gt;"",ROW($K$7:$K$165)-MIN(ROW($K$7:$K$165))+1,""),""),ROW()-ROW(A$167)+1))),),"")</f>
        <v/>
      </c>
      <c r="Q228" s="0" t="str">
        <f aca="false">IFERROR(CONCATENATE((INDEX($T$7:$T$165,SMALL(IF($T$7:$T$165&lt;&gt;"",IF($Q$7:$Q$165&lt;&gt;"",ROW($Q$7:$Q$165)-MIN(ROW($Q$7:$Q$165))+1,""),""),ROW()-ROW(A$167)+1)))," "),"")</f>
        <v/>
      </c>
      <c r="R228" s="0" t="str">
        <f aca="false">IFERROR(CONCATENATE(TEXT(INDEX($Q$7:$Q$165,SMALL(IF($T$7:$T$165&lt;&gt;"",IF($Q$7:$Q$165&lt;&gt;"",ROW($Q$7:$Q$165)-MIN(ROW($Q$7:$Q$165))+1,""),""),ROW()-ROW(A$167)+1)),"##0")," "),"")</f>
        <v/>
      </c>
      <c r="S228" s="0" t="str">
        <f aca="false">IFERROR(CONCATENATE((INDEX($A$7:$A$165,SMALL(IF($T$7:$T$165&lt;&gt;"",IF($Q$7:$Q$165&lt;&gt;"",ROW($Q$7:$Q$165)-MIN(ROW($Q$7:$Q$165))+1,""),""),ROW()-ROW(A$167)+1))),),"")</f>
        <v/>
      </c>
      <c r="W228" s="0" t="str">
        <f aca="false">IFERROR(CONCATENATE((INDEX($Z$7:$Z$165,SMALL(IF($Z$7:$Z$165&lt;&gt;"",IF($W$7:$W$165&lt;&gt;"",ROW($W$7:$W$165)-MIN(ROW($W$7:$W$165))+1,""),""),ROW()-ROW(A$167)+1))),","),"")</f>
        <v/>
      </c>
      <c r="X228" s="0" t="str">
        <f aca="false">IFERROR(CONCATENATE(TEXT(INDEX($W$7:$W$165,SMALL(IF($Z$7:$Z$165&lt;&gt;"",IF($W$7:$W$165&lt;&gt;"",ROW($W$7:$W$165)-MIN(ROW($W$7:$W$165))+1,""),""),ROW()-ROW(A$167)+1)),"##0"),","),"")</f>
        <v/>
      </c>
      <c r="Y228" s="0" t="str">
        <f aca="false">IFERROR(CONCATENATE((INDEX($A$7:$A$165,SMALL(IF($Z$7:$Z$165&lt;&gt;"",IF($W$7:$W$165&lt;&gt;"",ROW($W$7:$W$165)-MIN(ROW($W$7:$W$165))+1,""),""),ROW()-ROW(A$167)+1))),),"")</f>
        <v/>
      </c>
    </row>
    <row r="229" customFormat="false" ht="13.8" hidden="false" customHeight="false" outlineLevel="0" collapsed="false">
      <c r="K229" s="0" t="str">
        <f aca="false">IFERROR(CONCATENATE(TEXT(INDEX($K$7:$K$165,SMALL(IF($N$7:$N$165&lt;&gt;"",IF($K$7:$K$165&lt;&gt;"",ROW($K$7:$K$165)-MIN(ROW($K$7:$K$165))+1,""),""),ROW()-ROW(A$167)+1)),"##0"),","),"")</f>
        <v/>
      </c>
      <c r="L229" s="0" t="str">
        <f aca="false">IFERROR(CONCATENATE((INDEX($N$7:$N$165,SMALL(IF($N$7:$N$165&lt;&gt;"",IF($K$7:$K$165&lt;&gt;"",ROW($K$7:$K$165)-MIN(ROW($K$7:$K$165))+1,""),""),ROW()-ROW(A$167)+1))),","),"")</f>
        <v/>
      </c>
      <c r="M229" s="0" t="str">
        <f aca="false">IFERROR(CONCATENATE((INDEX($A$7:$A$165,SMALL(IF($N$7:$N$165&lt;&gt;"",IF($K$7:$K$165&lt;&gt;"",ROW($K$7:$K$165)-MIN(ROW($K$7:$K$165))+1,""),""),ROW()-ROW(A$167)+1))),),"")</f>
        <v/>
      </c>
      <c r="Q229" s="0" t="str">
        <f aca="false">IFERROR(CONCATENATE((INDEX($T$7:$T$165,SMALL(IF($T$7:$T$165&lt;&gt;"",IF($Q$7:$Q$165&lt;&gt;"",ROW($Q$7:$Q$165)-MIN(ROW($Q$7:$Q$165))+1,""),""),ROW()-ROW(A$167)+1)))," "),"")</f>
        <v/>
      </c>
      <c r="R229" s="0" t="str">
        <f aca="false">IFERROR(CONCATENATE(TEXT(INDEX($Q$7:$Q$165,SMALL(IF($T$7:$T$165&lt;&gt;"",IF($Q$7:$Q$165&lt;&gt;"",ROW($Q$7:$Q$165)-MIN(ROW($Q$7:$Q$165))+1,""),""),ROW()-ROW(A$167)+1)),"##0")," "),"")</f>
        <v/>
      </c>
      <c r="S229" s="0" t="str">
        <f aca="false">IFERROR(CONCATENATE((INDEX($A$7:$A$165,SMALL(IF($T$7:$T$165&lt;&gt;"",IF($Q$7:$Q$165&lt;&gt;"",ROW($Q$7:$Q$165)-MIN(ROW($Q$7:$Q$165))+1,""),""),ROW()-ROW(A$167)+1))),),"")</f>
        <v/>
      </c>
      <c r="W229" s="0" t="str">
        <f aca="false">IFERROR(CONCATENATE((INDEX($Z$7:$Z$165,SMALL(IF($Z$7:$Z$165&lt;&gt;"",IF($W$7:$W$165&lt;&gt;"",ROW($W$7:$W$165)-MIN(ROW($W$7:$W$165))+1,""),""),ROW()-ROW(A$167)+1))),","),"")</f>
        <v/>
      </c>
      <c r="X229" s="0" t="str">
        <f aca="false">IFERROR(CONCATENATE(TEXT(INDEX($W$7:$W$165,SMALL(IF($Z$7:$Z$165&lt;&gt;"",IF($W$7:$W$165&lt;&gt;"",ROW($W$7:$W$165)-MIN(ROW($W$7:$W$165))+1,""),""),ROW()-ROW(A$167)+1)),"##0"),","),"")</f>
        <v/>
      </c>
      <c r="Y229" s="0" t="str">
        <f aca="false">IFERROR(CONCATENATE((INDEX($A$7:$A$165,SMALL(IF($Z$7:$Z$165&lt;&gt;"",IF($W$7:$W$165&lt;&gt;"",ROW($W$7:$W$165)-MIN(ROW($W$7:$W$165))+1,""),""),ROW()-ROW(A$167)+1))),),"")</f>
        <v/>
      </c>
    </row>
    <row r="230" customFormat="false" ht="13.8" hidden="false" customHeight="false" outlineLevel="0" collapsed="false">
      <c r="K230" s="0" t="str">
        <f aca="false">IFERROR(CONCATENATE(TEXT(INDEX($K$7:$K$165,SMALL(IF($N$7:$N$165&lt;&gt;"",IF($K$7:$K$165&lt;&gt;"",ROW($K$7:$K$165)-MIN(ROW($K$7:$K$165))+1,""),""),ROW()-ROW(A$167)+1)),"##0"),","),"")</f>
        <v/>
      </c>
      <c r="L230" s="0" t="str">
        <f aca="false">IFERROR(CONCATENATE((INDEX($N$7:$N$165,SMALL(IF($N$7:$N$165&lt;&gt;"",IF($K$7:$K$165&lt;&gt;"",ROW($K$7:$K$165)-MIN(ROW($K$7:$K$165))+1,""),""),ROW()-ROW(A$167)+1))),","),"")</f>
        <v/>
      </c>
      <c r="M230" s="0" t="str">
        <f aca="false">IFERROR(CONCATENATE((INDEX($A$7:$A$165,SMALL(IF($N$7:$N$165&lt;&gt;"",IF($K$7:$K$165&lt;&gt;"",ROW($K$7:$K$165)-MIN(ROW($K$7:$K$165))+1,""),""),ROW()-ROW(A$167)+1))),),"")</f>
        <v/>
      </c>
      <c r="Q230" s="0" t="str">
        <f aca="false">IFERROR(CONCATENATE((INDEX($T$7:$T$165,SMALL(IF($T$7:$T$165&lt;&gt;"",IF($Q$7:$Q$165&lt;&gt;"",ROW($Q$7:$Q$165)-MIN(ROW($Q$7:$Q$165))+1,""),""),ROW()-ROW(A$167)+1)))," "),"")</f>
        <v/>
      </c>
      <c r="R230" s="0" t="str">
        <f aca="false">IFERROR(CONCATENATE(TEXT(INDEX($Q$7:$Q$165,SMALL(IF($T$7:$T$165&lt;&gt;"",IF($Q$7:$Q$165&lt;&gt;"",ROW($Q$7:$Q$165)-MIN(ROW($Q$7:$Q$165))+1,""),""),ROW()-ROW(A$167)+1)),"##0")," "),"")</f>
        <v/>
      </c>
      <c r="S230" s="0" t="str">
        <f aca="false">IFERROR(CONCATENATE((INDEX($A$7:$A$165,SMALL(IF($T$7:$T$165&lt;&gt;"",IF($Q$7:$Q$165&lt;&gt;"",ROW($Q$7:$Q$165)-MIN(ROW($Q$7:$Q$165))+1,""),""),ROW()-ROW(A$167)+1))),),"")</f>
        <v/>
      </c>
      <c r="W230" s="0" t="str">
        <f aca="false">IFERROR(CONCATENATE((INDEX($Z$7:$Z$165,SMALL(IF($Z$7:$Z$165&lt;&gt;"",IF($W$7:$W$165&lt;&gt;"",ROW($W$7:$W$165)-MIN(ROW($W$7:$W$165))+1,""),""),ROW()-ROW(A$167)+1))),","),"")</f>
        <v/>
      </c>
      <c r="X230" s="0" t="str">
        <f aca="false">IFERROR(CONCATENATE(TEXT(INDEX($W$7:$W$165,SMALL(IF($Z$7:$Z$165&lt;&gt;"",IF($W$7:$W$165&lt;&gt;"",ROW($W$7:$W$165)-MIN(ROW($W$7:$W$165))+1,""),""),ROW()-ROW(A$167)+1)),"##0"),","),"")</f>
        <v/>
      </c>
      <c r="Y230" s="0" t="str">
        <f aca="false">IFERROR(CONCATENATE((INDEX($A$7:$A$165,SMALL(IF($Z$7:$Z$165&lt;&gt;"",IF($W$7:$W$165&lt;&gt;"",ROW($W$7:$W$165)-MIN(ROW($W$7:$W$165))+1,""),""),ROW()-ROW(A$167)+1))),),"")</f>
        <v/>
      </c>
    </row>
    <row r="231" customFormat="false" ht="13.8" hidden="false" customHeight="false" outlineLevel="0" collapsed="false">
      <c r="K231" s="0" t="str">
        <f aca="false">IFERROR(CONCATENATE(TEXT(INDEX($K$7:$K$165,SMALL(IF($N$7:$N$165&lt;&gt;"",IF($K$7:$K$165&lt;&gt;"",ROW($K$7:$K$165)-MIN(ROW($K$7:$K$165))+1,""),""),ROW()-ROW(A$167)+1)),"##0"),","),"")</f>
        <v/>
      </c>
      <c r="L231" s="0" t="str">
        <f aca="false">IFERROR(CONCATENATE((INDEX($N$7:$N$165,SMALL(IF($N$7:$N$165&lt;&gt;"",IF($K$7:$K$165&lt;&gt;"",ROW($K$7:$K$165)-MIN(ROW($K$7:$K$165))+1,""),""),ROW()-ROW(A$167)+1))),","),"")</f>
        <v/>
      </c>
      <c r="M231" s="0" t="str">
        <f aca="false">IFERROR(CONCATENATE((INDEX($A$7:$A$165,SMALL(IF($N$7:$N$165&lt;&gt;"",IF($K$7:$K$165&lt;&gt;"",ROW($K$7:$K$165)-MIN(ROW($K$7:$K$165))+1,""),""),ROW()-ROW(A$167)+1))),),"")</f>
        <v/>
      </c>
      <c r="Q231" s="0" t="str">
        <f aca="false">IFERROR(CONCATENATE((INDEX($T$7:$T$165,SMALL(IF($T$7:$T$165&lt;&gt;"",IF($Q$7:$Q$165&lt;&gt;"",ROW($Q$7:$Q$165)-MIN(ROW($Q$7:$Q$165))+1,""),""),ROW()-ROW(A$167)+1)))," "),"")</f>
        <v/>
      </c>
      <c r="R231" s="0" t="str">
        <f aca="false">IFERROR(CONCATENATE(TEXT(INDEX($Q$7:$Q$165,SMALL(IF($T$7:$T$165&lt;&gt;"",IF($Q$7:$Q$165&lt;&gt;"",ROW($Q$7:$Q$165)-MIN(ROW($Q$7:$Q$165))+1,""),""),ROW()-ROW(A$167)+1)),"##0")," "),"")</f>
        <v/>
      </c>
      <c r="S231" s="0" t="str">
        <f aca="false">IFERROR(CONCATENATE((INDEX($A$7:$A$165,SMALL(IF($T$7:$T$165&lt;&gt;"",IF($Q$7:$Q$165&lt;&gt;"",ROW($Q$7:$Q$165)-MIN(ROW($Q$7:$Q$165))+1,""),""),ROW()-ROW(A$167)+1))),),"")</f>
        <v/>
      </c>
      <c r="W231" s="0" t="str">
        <f aca="false">IFERROR(CONCATENATE((INDEX($Z$7:$Z$165,SMALL(IF($Z$7:$Z$165&lt;&gt;"",IF($W$7:$W$165&lt;&gt;"",ROW($W$7:$W$165)-MIN(ROW($W$7:$W$165))+1,""),""),ROW()-ROW(A$167)+1))),","),"")</f>
        <v/>
      </c>
      <c r="X231" s="0" t="str">
        <f aca="false">IFERROR(CONCATENATE(TEXT(INDEX($W$7:$W$165,SMALL(IF($Z$7:$Z$165&lt;&gt;"",IF($W$7:$W$165&lt;&gt;"",ROW($W$7:$W$165)-MIN(ROW($W$7:$W$165))+1,""),""),ROW()-ROW(A$167)+1)),"##0"),","),"")</f>
        <v/>
      </c>
      <c r="Y231" s="0" t="str">
        <f aca="false">IFERROR(CONCATENATE((INDEX($A$7:$A$165,SMALL(IF($Z$7:$Z$165&lt;&gt;"",IF($W$7:$W$165&lt;&gt;"",ROW($W$7:$W$165)-MIN(ROW($W$7:$W$165))+1,""),""),ROW()-ROW(A$167)+1))),),"")</f>
        <v/>
      </c>
    </row>
    <row r="232" customFormat="false" ht="13.8" hidden="false" customHeight="false" outlineLevel="0" collapsed="false">
      <c r="K232" s="0" t="str">
        <f aca="false">IFERROR(CONCATENATE(TEXT(INDEX($K$7:$K$165,SMALL(IF($N$7:$N$165&lt;&gt;"",IF($K$7:$K$165&lt;&gt;"",ROW($K$7:$K$165)-MIN(ROW($K$7:$K$165))+1,""),""),ROW()-ROW(A$167)+1)),"##0"),","),"")</f>
        <v/>
      </c>
      <c r="L232" s="0" t="str">
        <f aca="false">IFERROR(CONCATENATE((INDEX($N$7:$N$165,SMALL(IF($N$7:$N$165&lt;&gt;"",IF($K$7:$K$165&lt;&gt;"",ROW($K$7:$K$165)-MIN(ROW($K$7:$K$165))+1,""),""),ROW()-ROW(A$167)+1))),","),"")</f>
        <v/>
      </c>
      <c r="M232" s="0" t="str">
        <f aca="false">IFERROR(CONCATENATE((INDEX($A$7:$A$165,SMALL(IF($N$7:$N$165&lt;&gt;"",IF($K$7:$K$165&lt;&gt;"",ROW($K$7:$K$165)-MIN(ROW($K$7:$K$165))+1,""),""),ROW()-ROW(A$167)+1))),),"")</f>
        <v/>
      </c>
      <c r="Q232" s="0" t="str">
        <f aca="false">IFERROR(CONCATENATE((INDEX($T$7:$T$165,SMALL(IF($T$7:$T$165&lt;&gt;"",IF($Q$7:$Q$165&lt;&gt;"",ROW($Q$7:$Q$165)-MIN(ROW($Q$7:$Q$165))+1,""),""),ROW()-ROW(A$167)+1)))," "),"")</f>
        <v/>
      </c>
      <c r="R232" s="0" t="str">
        <f aca="false">IFERROR(CONCATENATE(TEXT(INDEX($Q$7:$Q$165,SMALL(IF($T$7:$T$165&lt;&gt;"",IF($Q$7:$Q$165&lt;&gt;"",ROW($Q$7:$Q$165)-MIN(ROW($Q$7:$Q$165))+1,""),""),ROW()-ROW(A$167)+1)),"##0")," "),"")</f>
        <v/>
      </c>
      <c r="S232" s="0" t="str">
        <f aca="false">IFERROR(CONCATENATE((INDEX($A$7:$A$165,SMALL(IF($T$7:$T$165&lt;&gt;"",IF($Q$7:$Q$165&lt;&gt;"",ROW($Q$7:$Q$165)-MIN(ROW($Q$7:$Q$165))+1,""),""),ROW()-ROW(A$167)+1))),),"")</f>
        <v/>
      </c>
      <c r="W232" s="0" t="str">
        <f aca="false">IFERROR(CONCATENATE((INDEX($Z$7:$Z$165,SMALL(IF($Z$7:$Z$165&lt;&gt;"",IF($W$7:$W$165&lt;&gt;"",ROW($W$7:$W$165)-MIN(ROW($W$7:$W$165))+1,""),""),ROW()-ROW(A$167)+1))),","),"")</f>
        <v/>
      </c>
      <c r="X232" s="0" t="str">
        <f aca="false">IFERROR(CONCATENATE(TEXT(INDEX($W$7:$W$165,SMALL(IF($Z$7:$Z$165&lt;&gt;"",IF($W$7:$W$165&lt;&gt;"",ROW($W$7:$W$165)-MIN(ROW($W$7:$W$165))+1,""),""),ROW()-ROW(A$167)+1)),"##0"),","),"")</f>
        <v/>
      </c>
      <c r="Y232" s="0" t="str">
        <f aca="false">IFERROR(CONCATENATE((INDEX($A$7:$A$165,SMALL(IF($Z$7:$Z$165&lt;&gt;"",IF($W$7:$W$165&lt;&gt;"",ROW($W$7:$W$165)-MIN(ROW($W$7:$W$165))+1,""),""),ROW()-ROW(A$167)+1))),),"")</f>
        <v/>
      </c>
    </row>
    <row r="233" customFormat="false" ht="13.8" hidden="false" customHeight="false" outlineLevel="0" collapsed="false">
      <c r="K233" s="0" t="str">
        <f aca="false">IFERROR(CONCATENATE(TEXT(INDEX($K$7:$K$165,SMALL(IF($N$7:$N$165&lt;&gt;"",IF($K$7:$K$165&lt;&gt;"",ROW($K$7:$K$165)-MIN(ROW($K$7:$K$165))+1,""),""),ROW()-ROW(A$167)+1)),"##0"),","),"")</f>
        <v/>
      </c>
      <c r="L233" s="0" t="str">
        <f aca="false">IFERROR(CONCATENATE((INDEX($N$7:$N$165,SMALL(IF($N$7:$N$165&lt;&gt;"",IF($K$7:$K$165&lt;&gt;"",ROW($K$7:$K$165)-MIN(ROW($K$7:$K$165))+1,""),""),ROW()-ROW(A$167)+1))),","),"")</f>
        <v/>
      </c>
      <c r="M233" s="0" t="str">
        <f aca="false">IFERROR(CONCATENATE((INDEX($A$7:$A$165,SMALL(IF($N$7:$N$165&lt;&gt;"",IF($K$7:$K$165&lt;&gt;"",ROW($K$7:$K$165)-MIN(ROW($K$7:$K$165))+1,""),""),ROW()-ROW(A$167)+1))),),"")</f>
        <v/>
      </c>
      <c r="Q233" s="0" t="str">
        <f aca="false">IFERROR(CONCATENATE((INDEX($T$7:$T$165,SMALL(IF($T$7:$T$165&lt;&gt;"",IF($Q$7:$Q$165&lt;&gt;"",ROW($Q$7:$Q$165)-MIN(ROW($Q$7:$Q$165))+1,""),""),ROW()-ROW(A$167)+1)))," "),"")</f>
        <v/>
      </c>
      <c r="R233" s="0" t="str">
        <f aca="false">IFERROR(CONCATENATE(TEXT(INDEX($Q$7:$Q$165,SMALL(IF($T$7:$T$165&lt;&gt;"",IF($Q$7:$Q$165&lt;&gt;"",ROW($Q$7:$Q$165)-MIN(ROW($Q$7:$Q$165))+1,""),""),ROW()-ROW(A$167)+1)),"##0")," "),"")</f>
        <v/>
      </c>
      <c r="S233" s="0" t="str">
        <f aca="false">IFERROR(CONCATENATE((INDEX($A$7:$A$165,SMALL(IF($T$7:$T$165&lt;&gt;"",IF($Q$7:$Q$165&lt;&gt;"",ROW($Q$7:$Q$165)-MIN(ROW($Q$7:$Q$165))+1,""),""),ROW()-ROW(A$167)+1))),),"")</f>
        <v/>
      </c>
      <c r="W233" s="0" t="str">
        <f aca="false">IFERROR(CONCATENATE((INDEX($Z$7:$Z$165,SMALL(IF($Z$7:$Z$165&lt;&gt;"",IF($W$7:$W$165&lt;&gt;"",ROW($W$7:$W$165)-MIN(ROW($W$7:$W$165))+1,""),""),ROW()-ROW(A$167)+1))),","),"")</f>
        <v/>
      </c>
      <c r="X233" s="0" t="str">
        <f aca="false">IFERROR(CONCATENATE(TEXT(INDEX($W$7:$W$165,SMALL(IF($Z$7:$Z$165&lt;&gt;"",IF($W$7:$W$165&lt;&gt;"",ROW($W$7:$W$165)-MIN(ROW($W$7:$W$165))+1,""),""),ROW()-ROW(A$167)+1)),"##0"),","),"")</f>
        <v/>
      </c>
      <c r="Y233" s="0" t="str">
        <f aca="false">IFERROR(CONCATENATE((INDEX($A$7:$A$165,SMALL(IF($Z$7:$Z$165&lt;&gt;"",IF($W$7:$W$165&lt;&gt;"",ROW($W$7:$W$165)-MIN(ROW($W$7:$W$165))+1,""),""),ROW()-ROW(A$167)+1))),),"")</f>
        <v/>
      </c>
    </row>
    <row r="234" customFormat="false" ht="13.8" hidden="false" customHeight="false" outlineLevel="0" collapsed="false">
      <c r="K234" s="0" t="str">
        <f aca="false">IFERROR(CONCATENATE(TEXT(INDEX($K$7:$K$165,SMALL(IF($N$7:$N$165&lt;&gt;"",IF($K$7:$K$165&lt;&gt;"",ROW($K$7:$K$165)-MIN(ROW($K$7:$K$165))+1,""),""),ROW()-ROW(A$167)+1)),"##0"),","),"")</f>
        <v/>
      </c>
      <c r="L234" s="0" t="str">
        <f aca="false">IFERROR(CONCATENATE((INDEX($N$7:$N$165,SMALL(IF($N$7:$N$165&lt;&gt;"",IF($K$7:$K$165&lt;&gt;"",ROW($K$7:$K$165)-MIN(ROW($K$7:$K$165))+1,""),""),ROW()-ROW(A$167)+1))),","),"")</f>
        <v/>
      </c>
      <c r="M234" s="0" t="str">
        <f aca="false">IFERROR(CONCATENATE((INDEX($A$7:$A$165,SMALL(IF($N$7:$N$165&lt;&gt;"",IF($K$7:$K$165&lt;&gt;"",ROW($K$7:$K$165)-MIN(ROW($K$7:$K$165))+1,""),""),ROW()-ROW(A$167)+1))),),"")</f>
        <v/>
      </c>
      <c r="Q234" s="0" t="str">
        <f aca="false">IFERROR(CONCATENATE((INDEX($T$7:$T$165,SMALL(IF($T$7:$T$165&lt;&gt;"",IF($Q$7:$Q$165&lt;&gt;"",ROW($Q$7:$Q$165)-MIN(ROW($Q$7:$Q$165))+1,""),""),ROW()-ROW(A$167)+1)))," "),"")</f>
        <v/>
      </c>
      <c r="R234" s="0" t="str">
        <f aca="false">IFERROR(CONCATENATE(TEXT(INDEX($Q$7:$Q$165,SMALL(IF($T$7:$T$165&lt;&gt;"",IF($Q$7:$Q$165&lt;&gt;"",ROW($Q$7:$Q$165)-MIN(ROW($Q$7:$Q$165))+1,""),""),ROW()-ROW(A$167)+1)),"##0")," "),"")</f>
        <v/>
      </c>
      <c r="S234" s="0" t="str">
        <f aca="false">IFERROR(CONCATENATE((INDEX($A$7:$A$165,SMALL(IF($T$7:$T$165&lt;&gt;"",IF($Q$7:$Q$165&lt;&gt;"",ROW($Q$7:$Q$165)-MIN(ROW($Q$7:$Q$165))+1,""),""),ROW()-ROW(A$167)+1))),),"")</f>
        <v/>
      </c>
      <c r="W234" s="0" t="str">
        <f aca="false">IFERROR(CONCATENATE((INDEX($Z$7:$Z$165,SMALL(IF($Z$7:$Z$165&lt;&gt;"",IF($W$7:$W$165&lt;&gt;"",ROW($W$7:$W$165)-MIN(ROW($W$7:$W$165))+1,""),""),ROW()-ROW(A$167)+1))),","),"")</f>
        <v/>
      </c>
      <c r="X234" s="0" t="str">
        <f aca="false">IFERROR(CONCATENATE(TEXT(INDEX($W$7:$W$165,SMALL(IF($Z$7:$Z$165&lt;&gt;"",IF($W$7:$W$165&lt;&gt;"",ROW($W$7:$W$165)-MIN(ROW($W$7:$W$165))+1,""),""),ROW()-ROW(A$167)+1)),"##0"),","),"")</f>
        <v/>
      </c>
      <c r="Y234" s="0" t="str">
        <f aca="false">IFERROR(CONCATENATE((INDEX($A$7:$A$165,SMALL(IF($Z$7:$Z$165&lt;&gt;"",IF($W$7:$W$165&lt;&gt;"",ROW($W$7:$W$165)-MIN(ROW($W$7:$W$165))+1,""),""),ROW()-ROW(A$167)+1))),),"")</f>
        <v/>
      </c>
    </row>
    <row r="235" customFormat="false" ht="13.8" hidden="false" customHeight="false" outlineLevel="0" collapsed="false">
      <c r="K235" s="0" t="str">
        <f aca="false">IFERROR(CONCATENATE(TEXT(INDEX($K$7:$K$165,SMALL(IF($N$7:$N$165&lt;&gt;"",IF($K$7:$K$165&lt;&gt;"",ROW($K$7:$K$165)-MIN(ROW($K$7:$K$165))+1,""),""),ROW()-ROW(A$167)+1)),"##0"),","),"")</f>
        <v/>
      </c>
      <c r="L235" s="0" t="str">
        <f aca="false">IFERROR(CONCATENATE((INDEX($N$7:$N$165,SMALL(IF($N$7:$N$165&lt;&gt;"",IF($K$7:$K$165&lt;&gt;"",ROW($K$7:$K$165)-MIN(ROW($K$7:$K$165))+1,""),""),ROW()-ROW(A$167)+1))),","),"")</f>
        <v/>
      </c>
      <c r="M235" s="0" t="str">
        <f aca="false">IFERROR(CONCATENATE((INDEX($A$7:$A$165,SMALL(IF($N$7:$N$165&lt;&gt;"",IF($K$7:$K$165&lt;&gt;"",ROW($K$7:$K$165)-MIN(ROW($K$7:$K$165))+1,""),""),ROW()-ROW(A$167)+1))),),"")</f>
        <v/>
      </c>
      <c r="Q235" s="0" t="str">
        <f aca="false">IFERROR(CONCATENATE((INDEX($T$7:$T$165,SMALL(IF($T$7:$T$165&lt;&gt;"",IF($Q$7:$Q$165&lt;&gt;"",ROW($Q$7:$Q$165)-MIN(ROW($Q$7:$Q$165))+1,""),""),ROW()-ROW(A$167)+1)))," "),"")</f>
        <v/>
      </c>
      <c r="R235" s="0" t="str">
        <f aca="false">IFERROR(CONCATENATE(TEXT(INDEX($Q$7:$Q$165,SMALL(IF($T$7:$T$165&lt;&gt;"",IF($Q$7:$Q$165&lt;&gt;"",ROW($Q$7:$Q$165)-MIN(ROW($Q$7:$Q$165))+1,""),""),ROW()-ROW(A$167)+1)),"##0")," "),"")</f>
        <v/>
      </c>
      <c r="S235" s="0" t="str">
        <f aca="false">IFERROR(CONCATENATE((INDEX($A$7:$A$165,SMALL(IF($T$7:$T$165&lt;&gt;"",IF($Q$7:$Q$165&lt;&gt;"",ROW($Q$7:$Q$165)-MIN(ROW($Q$7:$Q$165))+1,""),""),ROW()-ROW(A$167)+1))),),"")</f>
        <v/>
      </c>
      <c r="W235" s="0" t="str">
        <f aca="false">IFERROR(CONCATENATE((INDEX($Z$7:$Z$165,SMALL(IF($Z$7:$Z$165&lt;&gt;"",IF($W$7:$W$165&lt;&gt;"",ROW($W$7:$W$165)-MIN(ROW($W$7:$W$165))+1,""),""),ROW()-ROW(A$167)+1))),","),"")</f>
        <v/>
      </c>
      <c r="X235" s="0" t="str">
        <f aca="false">IFERROR(CONCATENATE(TEXT(INDEX($W$7:$W$165,SMALL(IF($Z$7:$Z$165&lt;&gt;"",IF($W$7:$W$165&lt;&gt;"",ROW($W$7:$W$165)-MIN(ROW($W$7:$W$165))+1,""),""),ROW()-ROW(A$167)+1)),"##0"),","),"")</f>
        <v/>
      </c>
      <c r="Y235" s="0" t="str">
        <f aca="false">IFERROR(CONCATENATE((INDEX($A$7:$A$165,SMALL(IF($Z$7:$Z$165&lt;&gt;"",IF($W$7:$W$165&lt;&gt;"",ROW($W$7:$W$165)-MIN(ROW($W$7:$W$165))+1,""),""),ROW()-ROW(A$167)+1))),),"")</f>
        <v/>
      </c>
    </row>
    <row r="236" customFormat="false" ht="13.8" hidden="false" customHeight="false" outlineLevel="0" collapsed="false">
      <c r="K236" s="0" t="str">
        <f aca="false">IFERROR(CONCATENATE(TEXT(INDEX($K$7:$K$165,SMALL(IF($N$7:$N$165&lt;&gt;"",IF($K$7:$K$165&lt;&gt;"",ROW($K$7:$K$165)-MIN(ROW($K$7:$K$165))+1,""),""),ROW()-ROW(A$167)+1)),"##0"),","),"")</f>
        <v/>
      </c>
      <c r="L236" s="0" t="str">
        <f aca="false">IFERROR(CONCATENATE((INDEX($N$7:$N$165,SMALL(IF($N$7:$N$165&lt;&gt;"",IF($K$7:$K$165&lt;&gt;"",ROW($K$7:$K$165)-MIN(ROW($K$7:$K$165))+1,""),""),ROW()-ROW(A$167)+1))),","),"")</f>
        <v/>
      </c>
      <c r="M236" s="0" t="str">
        <f aca="false">IFERROR(CONCATENATE((INDEX($A$7:$A$165,SMALL(IF($N$7:$N$165&lt;&gt;"",IF($K$7:$K$165&lt;&gt;"",ROW($K$7:$K$165)-MIN(ROW($K$7:$K$165))+1,""),""),ROW()-ROW(A$167)+1))),),"")</f>
        <v/>
      </c>
      <c r="Q236" s="0" t="str">
        <f aca="false">IFERROR(CONCATENATE((INDEX($T$7:$T$165,SMALL(IF($T$7:$T$165&lt;&gt;"",IF($Q$7:$Q$165&lt;&gt;"",ROW($Q$7:$Q$165)-MIN(ROW($Q$7:$Q$165))+1,""),""),ROW()-ROW(A$167)+1)))," "),"")</f>
        <v/>
      </c>
      <c r="R236" s="0" t="str">
        <f aca="false">IFERROR(CONCATENATE(TEXT(INDEX($Q$7:$Q$165,SMALL(IF($T$7:$T$165&lt;&gt;"",IF($Q$7:$Q$165&lt;&gt;"",ROW($Q$7:$Q$165)-MIN(ROW($Q$7:$Q$165))+1,""),""),ROW()-ROW(A$167)+1)),"##0")," "),"")</f>
        <v/>
      </c>
      <c r="S236" s="0" t="str">
        <f aca="false">IFERROR(CONCATENATE((INDEX($A$7:$A$165,SMALL(IF($T$7:$T$165&lt;&gt;"",IF($Q$7:$Q$165&lt;&gt;"",ROW($Q$7:$Q$165)-MIN(ROW($Q$7:$Q$165))+1,""),""),ROW()-ROW(A$167)+1))),),"")</f>
        <v/>
      </c>
      <c r="W236" s="0" t="str">
        <f aca="false">IFERROR(CONCATENATE((INDEX($Z$7:$Z$165,SMALL(IF($Z$7:$Z$165&lt;&gt;"",IF($W$7:$W$165&lt;&gt;"",ROW($W$7:$W$165)-MIN(ROW($W$7:$W$165))+1,""),""),ROW()-ROW(A$167)+1))),","),"")</f>
        <v/>
      </c>
      <c r="X236" s="0" t="str">
        <f aca="false">IFERROR(CONCATENATE(TEXT(INDEX($W$7:$W$165,SMALL(IF($Z$7:$Z$165&lt;&gt;"",IF($W$7:$W$165&lt;&gt;"",ROW($W$7:$W$165)-MIN(ROW($W$7:$W$165))+1,""),""),ROW()-ROW(A$167)+1)),"##0"),","),"")</f>
        <v/>
      </c>
      <c r="Y236" s="0" t="str">
        <f aca="false">IFERROR(CONCATENATE((INDEX($A$7:$A$165,SMALL(IF($Z$7:$Z$165&lt;&gt;"",IF($W$7:$W$165&lt;&gt;"",ROW($W$7:$W$165)-MIN(ROW($W$7:$W$165))+1,""),""),ROW()-ROW(A$167)+1))),),"")</f>
        <v/>
      </c>
    </row>
    <row r="237" customFormat="false" ht="13.8" hidden="false" customHeight="false" outlineLevel="0" collapsed="false">
      <c r="K237" s="0" t="str">
        <f aca="false">IFERROR(CONCATENATE(TEXT(INDEX($K$7:$K$165,SMALL(IF($N$7:$N$165&lt;&gt;"",IF($K$7:$K$165&lt;&gt;"",ROW($K$7:$K$165)-MIN(ROW($K$7:$K$165))+1,""),""),ROW()-ROW(A$167)+1)),"##0"),","),"")</f>
        <v/>
      </c>
      <c r="L237" s="0" t="str">
        <f aca="false">IFERROR(CONCATENATE((INDEX($N$7:$N$165,SMALL(IF($N$7:$N$165&lt;&gt;"",IF($K$7:$K$165&lt;&gt;"",ROW($K$7:$K$165)-MIN(ROW($K$7:$K$165))+1,""),""),ROW()-ROW(A$167)+1))),","),"")</f>
        <v/>
      </c>
      <c r="M237" s="0" t="str">
        <f aca="false">IFERROR(CONCATENATE((INDEX($A$7:$A$165,SMALL(IF($N$7:$N$165&lt;&gt;"",IF($K$7:$K$165&lt;&gt;"",ROW($K$7:$K$165)-MIN(ROW($K$7:$K$165))+1,""),""),ROW()-ROW(A$167)+1))),),"")</f>
        <v/>
      </c>
      <c r="Q237" s="0" t="str">
        <f aca="false">IFERROR(CONCATENATE((INDEX($T$7:$T$165,SMALL(IF($T$7:$T$165&lt;&gt;"",IF($Q$7:$Q$165&lt;&gt;"",ROW($Q$7:$Q$165)-MIN(ROW($Q$7:$Q$165))+1,""),""),ROW()-ROW(A$167)+1)))," "),"")</f>
        <v/>
      </c>
      <c r="R237" s="0" t="str">
        <f aca="false">IFERROR(CONCATENATE(TEXT(INDEX($Q$7:$Q$165,SMALL(IF($T$7:$T$165&lt;&gt;"",IF($Q$7:$Q$165&lt;&gt;"",ROW($Q$7:$Q$165)-MIN(ROW($Q$7:$Q$165))+1,""),""),ROW()-ROW(A$167)+1)),"##0")," "),"")</f>
        <v/>
      </c>
      <c r="S237" s="0" t="str">
        <f aca="false">IFERROR(CONCATENATE((INDEX($A$7:$A$165,SMALL(IF($T$7:$T$165&lt;&gt;"",IF($Q$7:$Q$165&lt;&gt;"",ROW($Q$7:$Q$165)-MIN(ROW($Q$7:$Q$165))+1,""),""),ROW()-ROW(A$167)+1))),),"")</f>
        <v/>
      </c>
      <c r="W237" s="0" t="str">
        <f aca="false">IFERROR(CONCATENATE((INDEX($Z$7:$Z$165,SMALL(IF($Z$7:$Z$165&lt;&gt;"",IF($W$7:$W$165&lt;&gt;"",ROW($W$7:$W$165)-MIN(ROW($W$7:$W$165))+1,""),""),ROW()-ROW(A$167)+1))),","),"")</f>
        <v/>
      </c>
      <c r="X237" s="0" t="str">
        <f aca="false">IFERROR(CONCATENATE(TEXT(INDEX($W$7:$W$165,SMALL(IF($Z$7:$Z$165&lt;&gt;"",IF($W$7:$W$165&lt;&gt;"",ROW($W$7:$W$165)-MIN(ROW($W$7:$W$165))+1,""),""),ROW()-ROW(A$167)+1)),"##0"),","),"")</f>
        <v/>
      </c>
      <c r="Y237" s="0" t="str">
        <f aca="false">IFERROR(CONCATENATE((INDEX($A$7:$A$165,SMALL(IF($Z$7:$Z$165&lt;&gt;"",IF($W$7:$W$165&lt;&gt;"",ROW($W$7:$W$165)-MIN(ROW($W$7:$W$165))+1,""),""),ROW()-ROW(A$167)+1))),),"")</f>
        <v/>
      </c>
    </row>
    <row r="238" customFormat="false" ht="13.8" hidden="false" customHeight="false" outlineLevel="0" collapsed="false">
      <c r="K238" s="0" t="str">
        <f aca="false">IFERROR(CONCATENATE(TEXT(INDEX($K$7:$K$165,SMALL(IF($N$7:$N$165&lt;&gt;"",IF($K$7:$K$165&lt;&gt;"",ROW($K$7:$K$165)-MIN(ROW($K$7:$K$165))+1,""),""),ROW()-ROW(A$167)+1)),"##0"),","),"")</f>
        <v/>
      </c>
      <c r="L238" s="0" t="str">
        <f aca="false">IFERROR(CONCATENATE((INDEX($N$7:$N$165,SMALL(IF($N$7:$N$165&lt;&gt;"",IF($K$7:$K$165&lt;&gt;"",ROW($K$7:$K$165)-MIN(ROW($K$7:$K$165))+1,""),""),ROW()-ROW(A$167)+1))),","),"")</f>
        <v/>
      </c>
      <c r="M238" s="0" t="str">
        <f aca="false">IFERROR(CONCATENATE((INDEX($A$7:$A$165,SMALL(IF($N$7:$N$165&lt;&gt;"",IF($K$7:$K$165&lt;&gt;"",ROW($K$7:$K$165)-MIN(ROW($K$7:$K$165))+1,""),""),ROW()-ROW(A$167)+1))),),"")</f>
        <v/>
      </c>
      <c r="Q238" s="0" t="str">
        <f aca="false">IFERROR(CONCATENATE((INDEX($T$7:$T$165,SMALL(IF($T$7:$T$165&lt;&gt;"",IF($Q$7:$Q$165&lt;&gt;"",ROW($Q$7:$Q$165)-MIN(ROW($Q$7:$Q$165))+1,""),""),ROW()-ROW(A$167)+1)))," "),"")</f>
        <v/>
      </c>
      <c r="R238" s="0" t="str">
        <f aca="false">IFERROR(CONCATENATE(TEXT(INDEX($Q$7:$Q$165,SMALL(IF($T$7:$T$165&lt;&gt;"",IF($Q$7:$Q$165&lt;&gt;"",ROW($Q$7:$Q$165)-MIN(ROW($Q$7:$Q$165))+1,""),""),ROW()-ROW(A$167)+1)),"##0")," "),"")</f>
        <v/>
      </c>
      <c r="S238" s="0" t="str">
        <f aca="false">IFERROR(CONCATENATE((INDEX($A$7:$A$165,SMALL(IF($T$7:$T$165&lt;&gt;"",IF($Q$7:$Q$165&lt;&gt;"",ROW($Q$7:$Q$165)-MIN(ROW($Q$7:$Q$165))+1,""),""),ROW()-ROW(A$167)+1))),),"")</f>
        <v/>
      </c>
      <c r="W238" s="0" t="str">
        <f aca="false">IFERROR(CONCATENATE((INDEX($Z$7:$Z$165,SMALL(IF($Z$7:$Z$165&lt;&gt;"",IF($W$7:$W$165&lt;&gt;"",ROW($W$7:$W$165)-MIN(ROW($W$7:$W$165))+1,""),""),ROW()-ROW(A$167)+1))),","),"")</f>
        <v/>
      </c>
      <c r="X238" s="0" t="str">
        <f aca="false">IFERROR(CONCATENATE(TEXT(INDEX($W$7:$W$165,SMALL(IF($Z$7:$Z$165&lt;&gt;"",IF($W$7:$W$165&lt;&gt;"",ROW($W$7:$W$165)-MIN(ROW($W$7:$W$165))+1,""),""),ROW()-ROW(A$167)+1)),"##0"),","),"")</f>
        <v/>
      </c>
      <c r="Y238" s="0" t="str">
        <f aca="false">IFERROR(CONCATENATE((INDEX($A$7:$A$165,SMALL(IF($Z$7:$Z$165&lt;&gt;"",IF($W$7:$W$165&lt;&gt;"",ROW($W$7:$W$165)-MIN(ROW($W$7:$W$165))+1,""),""),ROW()-ROW(A$167)+1))),),"")</f>
        <v/>
      </c>
    </row>
    <row r="239" customFormat="false" ht="13.8" hidden="false" customHeight="false" outlineLevel="0" collapsed="false">
      <c r="K239" s="0" t="str">
        <f aca="false">IFERROR(CONCATENATE(TEXT(INDEX($K$7:$K$165,SMALL(IF($N$7:$N$165&lt;&gt;"",IF($K$7:$K$165&lt;&gt;"",ROW($K$7:$K$165)-MIN(ROW($K$7:$K$165))+1,""),""),ROW()-ROW(A$167)+1)),"##0"),","),"")</f>
        <v/>
      </c>
      <c r="L239" s="0" t="str">
        <f aca="false">IFERROR(CONCATENATE((INDEX($N$7:$N$165,SMALL(IF($N$7:$N$165&lt;&gt;"",IF($K$7:$K$165&lt;&gt;"",ROW($K$7:$K$165)-MIN(ROW($K$7:$K$165))+1,""),""),ROW()-ROW(A$167)+1))),","),"")</f>
        <v/>
      </c>
      <c r="M239" s="0" t="str">
        <f aca="false">IFERROR(CONCATENATE((INDEX($A$7:$A$165,SMALL(IF($N$7:$N$165&lt;&gt;"",IF($K$7:$K$165&lt;&gt;"",ROW($K$7:$K$165)-MIN(ROW($K$7:$K$165))+1,""),""),ROW()-ROW(A$167)+1))),),"")</f>
        <v/>
      </c>
      <c r="Q239" s="0" t="str">
        <f aca="false">IFERROR(CONCATENATE((INDEX($T$7:$T$165,SMALL(IF($T$7:$T$165&lt;&gt;"",IF($Q$7:$Q$165&lt;&gt;"",ROW($Q$7:$Q$165)-MIN(ROW($Q$7:$Q$165))+1,""),""),ROW()-ROW(A$167)+1)))," "),"")</f>
        <v/>
      </c>
      <c r="R239" s="0" t="str">
        <f aca="false">IFERROR(CONCATENATE(TEXT(INDEX($Q$7:$Q$165,SMALL(IF($T$7:$T$165&lt;&gt;"",IF($Q$7:$Q$165&lt;&gt;"",ROW($Q$7:$Q$165)-MIN(ROW($Q$7:$Q$165))+1,""),""),ROW()-ROW(A$167)+1)),"##0")," "),"")</f>
        <v/>
      </c>
      <c r="S239" s="0" t="str">
        <f aca="false">IFERROR(CONCATENATE((INDEX($A$7:$A$165,SMALL(IF($T$7:$T$165&lt;&gt;"",IF($Q$7:$Q$165&lt;&gt;"",ROW($Q$7:$Q$165)-MIN(ROW($Q$7:$Q$165))+1,""),""),ROW()-ROW(A$167)+1))),),"")</f>
        <v/>
      </c>
      <c r="W239" s="0" t="str">
        <f aca="false">IFERROR(CONCATENATE((INDEX($Z$7:$Z$165,SMALL(IF($Z$7:$Z$165&lt;&gt;"",IF($W$7:$W$165&lt;&gt;"",ROW($W$7:$W$165)-MIN(ROW($W$7:$W$165))+1,""),""),ROW()-ROW(A$167)+1))),","),"")</f>
        <v/>
      </c>
      <c r="X239" s="0" t="str">
        <f aca="false">IFERROR(CONCATENATE(TEXT(INDEX($W$7:$W$165,SMALL(IF($Z$7:$Z$165&lt;&gt;"",IF($W$7:$W$165&lt;&gt;"",ROW($W$7:$W$165)-MIN(ROW($W$7:$W$165))+1,""),""),ROW()-ROW(A$167)+1)),"##0"),","),"")</f>
        <v/>
      </c>
      <c r="Y239" s="0" t="str">
        <f aca="false">IFERROR(CONCATENATE((INDEX($A$7:$A$165,SMALL(IF($Z$7:$Z$165&lt;&gt;"",IF($W$7:$W$165&lt;&gt;"",ROW($W$7:$W$165)-MIN(ROW($W$7:$W$165))+1,""),""),ROW()-ROW(A$167)+1))),),"")</f>
        <v/>
      </c>
    </row>
    <row r="240" customFormat="false" ht="13.8" hidden="false" customHeight="false" outlineLevel="0" collapsed="false">
      <c r="K240" s="0" t="str">
        <f aca="false">IFERROR(CONCATENATE(TEXT(INDEX($K$7:$K$165,SMALL(IF($N$7:$N$165&lt;&gt;"",IF($K$7:$K$165&lt;&gt;"",ROW($K$7:$K$165)-MIN(ROW($K$7:$K$165))+1,""),""),ROW()-ROW(A$167)+1)),"##0"),","),"")</f>
        <v/>
      </c>
      <c r="L240" s="0" t="str">
        <f aca="false">IFERROR(CONCATENATE((INDEX($N$7:$N$165,SMALL(IF($N$7:$N$165&lt;&gt;"",IF($K$7:$K$165&lt;&gt;"",ROW($K$7:$K$165)-MIN(ROW($K$7:$K$165))+1,""),""),ROW()-ROW(A$167)+1))),","),"")</f>
        <v/>
      </c>
      <c r="M240" s="0" t="str">
        <f aca="false">IFERROR(CONCATENATE((INDEX($A$7:$A$165,SMALL(IF($N$7:$N$165&lt;&gt;"",IF($K$7:$K$165&lt;&gt;"",ROW($K$7:$K$165)-MIN(ROW($K$7:$K$165))+1,""),""),ROW()-ROW(A$167)+1))),),"")</f>
        <v/>
      </c>
      <c r="Q240" s="0" t="str">
        <f aca="false">IFERROR(CONCATENATE((INDEX($T$7:$T$165,SMALL(IF($T$7:$T$165&lt;&gt;"",IF($Q$7:$Q$165&lt;&gt;"",ROW($Q$7:$Q$165)-MIN(ROW($Q$7:$Q$165))+1,""),""),ROW()-ROW(A$167)+1)))," "),"")</f>
        <v/>
      </c>
      <c r="R240" s="0" t="str">
        <f aca="false">IFERROR(CONCATENATE(TEXT(INDEX($Q$7:$Q$165,SMALL(IF($T$7:$T$165&lt;&gt;"",IF($Q$7:$Q$165&lt;&gt;"",ROW($Q$7:$Q$165)-MIN(ROW($Q$7:$Q$165))+1,""),""),ROW()-ROW(A$167)+1)),"##0")," "),"")</f>
        <v/>
      </c>
      <c r="S240" s="0" t="str">
        <f aca="false">IFERROR(CONCATENATE((INDEX($A$7:$A$165,SMALL(IF($T$7:$T$165&lt;&gt;"",IF($Q$7:$Q$165&lt;&gt;"",ROW($Q$7:$Q$165)-MIN(ROW($Q$7:$Q$165))+1,""),""),ROW()-ROW(A$167)+1))),),"")</f>
        <v/>
      </c>
      <c r="W240" s="0" t="str">
        <f aca="false">IFERROR(CONCATENATE((INDEX($Z$7:$Z$165,SMALL(IF($Z$7:$Z$165&lt;&gt;"",IF($W$7:$W$165&lt;&gt;"",ROW($W$7:$W$165)-MIN(ROW($W$7:$W$165))+1,""),""),ROW()-ROW(A$167)+1))),","),"")</f>
        <v/>
      </c>
      <c r="X240" s="0" t="str">
        <f aca="false">IFERROR(CONCATENATE(TEXT(INDEX($W$7:$W$165,SMALL(IF($Z$7:$Z$165&lt;&gt;"",IF($W$7:$W$165&lt;&gt;"",ROW($W$7:$W$165)-MIN(ROW($W$7:$W$165))+1,""),""),ROW()-ROW(A$167)+1)),"##0"),","),"")</f>
        <v/>
      </c>
      <c r="Y240" s="0" t="str">
        <f aca="false">IFERROR(CONCATENATE((INDEX($A$7:$A$165,SMALL(IF($Z$7:$Z$165&lt;&gt;"",IF($W$7:$W$165&lt;&gt;"",ROW($W$7:$W$165)-MIN(ROW($W$7:$W$165))+1,""),""),ROW()-ROW(A$167)+1))),),"")</f>
        <v/>
      </c>
    </row>
    <row r="241" customFormat="false" ht="13.8" hidden="false" customHeight="false" outlineLevel="0" collapsed="false">
      <c r="K241" s="0" t="str">
        <f aca="false">IFERROR(CONCATENATE(TEXT(INDEX($K$7:$K$165,SMALL(IF($N$7:$N$165&lt;&gt;"",IF($K$7:$K$165&lt;&gt;"",ROW($K$7:$K$165)-MIN(ROW($K$7:$K$165))+1,""),""),ROW()-ROW(A$167)+1)),"##0"),","),"")</f>
        <v/>
      </c>
      <c r="L241" s="0" t="str">
        <f aca="false">IFERROR(CONCATENATE((INDEX($N$7:$N$165,SMALL(IF($N$7:$N$165&lt;&gt;"",IF($K$7:$K$165&lt;&gt;"",ROW($K$7:$K$165)-MIN(ROW($K$7:$K$165))+1,""),""),ROW()-ROW(A$167)+1))),","),"")</f>
        <v/>
      </c>
      <c r="M241" s="0" t="str">
        <f aca="false">IFERROR(CONCATENATE((INDEX($A$7:$A$165,SMALL(IF($N$7:$N$165&lt;&gt;"",IF($K$7:$K$165&lt;&gt;"",ROW($K$7:$K$165)-MIN(ROW($K$7:$K$165))+1,""),""),ROW()-ROW(A$167)+1))),),"")</f>
        <v/>
      </c>
      <c r="Q241" s="0" t="str">
        <f aca="false">IFERROR(CONCATENATE((INDEX($T$7:$T$165,SMALL(IF($T$7:$T$165&lt;&gt;"",IF($Q$7:$Q$165&lt;&gt;"",ROW($Q$7:$Q$165)-MIN(ROW($Q$7:$Q$165))+1,""),""),ROW()-ROW(A$167)+1)))," "),"")</f>
        <v/>
      </c>
      <c r="R241" s="0" t="str">
        <f aca="false">IFERROR(CONCATENATE(TEXT(INDEX($Q$7:$Q$165,SMALL(IF($T$7:$T$165&lt;&gt;"",IF($Q$7:$Q$165&lt;&gt;"",ROW($Q$7:$Q$165)-MIN(ROW($Q$7:$Q$165))+1,""),""),ROW()-ROW(A$167)+1)),"##0")," "),"")</f>
        <v/>
      </c>
      <c r="S241" s="0" t="str">
        <f aca="false">IFERROR(CONCATENATE((INDEX($A$7:$A$165,SMALL(IF($T$7:$T$165&lt;&gt;"",IF($Q$7:$Q$165&lt;&gt;"",ROW($Q$7:$Q$165)-MIN(ROW($Q$7:$Q$165))+1,""),""),ROW()-ROW(A$167)+1))),),"")</f>
        <v/>
      </c>
      <c r="W241" s="0" t="str">
        <f aca="false">IFERROR(CONCATENATE((INDEX($Z$7:$Z$165,SMALL(IF($Z$7:$Z$165&lt;&gt;"",IF($W$7:$W$165&lt;&gt;"",ROW($W$7:$W$165)-MIN(ROW($W$7:$W$165))+1,""),""),ROW()-ROW(A$167)+1))),","),"")</f>
        <v/>
      </c>
      <c r="X241" s="0" t="str">
        <f aca="false">IFERROR(CONCATENATE(TEXT(INDEX($W$7:$W$165,SMALL(IF($Z$7:$Z$165&lt;&gt;"",IF($W$7:$W$165&lt;&gt;"",ROW($W$7:$W$165)-MIN(ROW($W$7:$W$165))+1,""),""),ROW()-ROW(A$167)+1)),"##0"),","),"")</f>
        <v/>
      </c>
      <c r="Y241" s="0" t="str">
        <f aca="false">IFERROR(CONCATENATE((INDEX($A$7:$A$165,SMALL(IF($Z$7:$Z$165&lt;&gt;"",IF($W$7:$W$165&lt;&gt;"",ROW($W$7:$W$165)-MIN(ROW($W$7:$W$165))+1,""),""),ROW()-ROW(A$167)+1))),),"")</f>
        <v/>
      </c>
    </row>
    <row r="242" customFormat="false" ht="13.8" hidden="false" customHeight="false" outlineLevel="0" collapsed="false">
      <c r="K242" s="0" t="str">
        <f aca="false">IFERROR(CONCATENATE(TEXT(INDEX($K$7:$K$165,SMALL(IF($N$7:$N$165&lt;&gt;"",IF($K$7:$K$165&lt;&gt;"",ROW($K$7:$K$165)-MIN(ROW($K$7:$K$165))+1,""),""),ROW()-ROW(A$167)+1)),"##0"),","),"")</f>
        <v/>
      </c>
      <c r="L242" s="0" t="str">
        <f aca="false">IFERROR(CONCATENATE((INDEX($N$7:$N$165,SMALL(IF($N$7:$N$165&lt;&gt;"",IF($K$7:$K$165&lt;&gt;"",ROW($K$7:$K$165)-MIN(ROW($K$7:$K$165))+1,""),""),ROW()-ROW(A$167)+1))),","),"")</f>
        <v/>
      </c>
      <c r="M242" s="0" t="str">
        <f aca="false">IFERROR(CONCATENATE((INDEX($A$7:$A$165,SMALL(IF($N$7:$N$165&lt;&gt;"",IF($K$7:$K$165&lt;&gt;"",ROW($K$7:$K$165)-MIN(ROW($K$7:$K$165))+1,""),""),ROW()-ROW(A$167)+1))),),"")</f>
        <v/>
      </c>
      <c r="Q242" s="0" t="str">
        <f aca="false">IFERROR(CONCATENATE((INDEX($T$7:$T$165,SMALL(IF($T$7:$T$165&lt;&gt;"",IF($Q$7:$Q$165&lt;&gt;"",ROW($Q$7:$Q$165)-MIN(ROW($Q$7:$Q$165))+1,""),""),ROW()-ROW(A$167)+1)))," "),"")</f>
        <v/>
      </c>
      <c r="R242" s="0" t="str">
        <f aca="false">IFERROR(CONCATENATE(TEXT(INDEX($Q$7:$Q$165,SMALL(IF($T$7:$T$165&lt;&gt;"",IF($Q$7:$Q$165&lt;&gt;"",ROW($Q$7:$Q$165)-MIN(ROW($Q$7:$Q$165))+1,""),""),ROW()-ROW(A$167)+1)),"##0")," "),"")</f>
        <v/>
      </c>
      <c r="S242" s="0" t="str">
        <f aca="false">IFERROR(CONCATENATE((INDEX($A$7:$A$165,SMALL(IF($T$7:$T$165&lt;&gt;"",IF($Q$7:$Q$165&lt;&gt;"",ROW($Q$7:$Q$165)-MIN(ROW($Q$7:$Q$165))+1,""),""),ROW()-ROW(A$167)+1))),),"")</f>
        <v/>
      </c>
      <c r="W242" s="0" t="str">
        <f aca="false">IFERROR(CONCATENATE((INDEX($Z$7:$Z$165,SMALL(IF($Z$7:$Z$165&lt;&gt;"",IF($W$7:$W$165&lt;&gt;"",ROW($W$7:$W$165)-MIN(ROW($W$7:$W$165))+1,""),""),ROW()-ROW(A$167)+1))),","),"")</f>
        <v/>
      </c>
      <c r="X242" s="0" t="str">
        <f aca="false">IFERROR(CONCATENATE(TEXT(INDEX($W$7:$W$165,SMALL(IF($Z$7:$Z$165&lt;&gt;"",IF($W$7:$W$165&lt;&gt;"",ROW($W$7:$W$165)-MIN(ROW($W$7:$W$165))+1,""),""),ROW()-ROW(A$167)+1)),"##0"),","),"")</f>
        <v/>
      </c>
      <c r="Y242" s="0" t="str">
        <f aca="false">IFERROR(CONCATENATE((INDEX($A$7:$A$165,SMALL(IF($Z$7:$Z$165&lt;&gt;"",IF($W$7:$W$165&lt;&gt;"",ROW($W$7:$W$165)-MIN(ROW($W$7:$W$165))+1,""),""),ROW()-ROW(A$167)+1))),),"")</f>
        <v/>
      </c>
    </row>
    <row r="243" customFormat="false" ht="13.8" hidden="false" customHeight="false" outlineLevel="0" collapsed="false">
      <c r="K243" s="0" t="str">
        <f aca="false">IFERROR(CONCATENATE(TEXT(INDEX($K$7:$K$165,SMALL(IF($N$7:$N$165&lt;&gt;"",IF($K$7:$K$165&lt;&gt;"",ROW($K$7:$K$165)-MIN(ROW($K$7:$K$165))+1,""),""),ROW()-ROW(A$167)+1)),"##0"),","),"")</f>
        <v/>
      </c>
      <c r="L243" s="0" t="str">
        <f aca="false">IFERROR(CONCATENATE((INDEX($N$7:$N$165,SMALL(IF($N$7:$N$165&lt;&gt;"",IF($K$7:$K$165&lt;&gt;"",ROW($K$7:$K$165)-MIN(ROW($K$7:$K$165))+1,""),""),ROW()-ROW(A$167)+1))),","),"")</f>
        <v/>
      </c>
      <c r="M243" s="0" t="str">
        <f aca="false">IFERROR(CONCATENATE((INDEX($A$7:$A$165,SMALL(IF($N$7:$N$165&lt;&gt;"",IF($K$7:$K$165&lt;&gt;"",ROW($K$7:$K$165)-MIN(ROW($K$7:$K$165))+1,""),""),ROW()-ROW(A$167)+1))),),"")</f>
        <v/>
      </c>
      <c r="Q243" s="0" t="str">
        <f aca="false">IFERROR(CONCATENATE((INDEX($T$7:$T$165,SMALL(IF($T$7:$T$165&lt;&gt;"",IF($Q$7:$Q$165&lt;&gt;"",ROW($Q$7:$Q$165)-MIN(ROW($Q$7:$Q$165))+1,""),""),ROW()-ROW(A$167)+1)))," "),"")</f>
        <v/>
      </c>
      <c r="R243" s="0" t="str">
        <f aca="false">IFERROR(CONCATENATE(TEXT(INDEX($Q$7:$Q$165,SMALL(IF($T$7:$T$165&lt;&gt;"",IF($Q$7:$Q$165&lt;&gt;"",ROW($Q$7:$Q$165)-MIN(ROW($Q$7:$Q$165))+1,""),""),ROW()-ROW(A$167)+1)),"##0")," "),"")</f>
        <v/>
      </c>
      <c r="S243" s="0" t="str">
        <f aca="false">IFERROR(CONCATENATE((INDEX($A$7:$A$165,SMALL(IF($T$7:$T$165&lt;&gt;"",IF($Q$7:$Q$165&lt;&gt;"",ROW($Q$7:$Q$165)-MIN(ROW($Q$7:$Q$165))+1,""),""),ROW()-ROW(A$167)+1))),),"")</f>
        <v/>
      </c>
      <c r="W243" s="0" t="str">
        <f aca="false">IFERROR(CONCATENATE((INDEX($Z$7:$Z$165,SMALL(IF($Z$7:$Z$165&lt;&gt;"",IF($W$7:$W$165&lt;&gt;"",ROW($W$7:$W$165)-MIN(ROW($W$7:$W$165))+1,""),""),ROW()-ROW(A$167)+1))),","),"")</f>
        <v/>
      </c>
      <c r="X243" s="0" t="str">
        <f aca="false">IFERROR(CONCATENATE(TEXT(INDEX($W$7:$W$165,SMALL(IF($Z$7:$Z$165&lt;&gt;"",IF($W$7:$W$165&lt;&gt;"",ROW($W$7:$W$165)-MIN(ROW($W$7:$W$165))+1,""),""),ROW()-ROW(A$167)+1)),"##0"),","),"")</f>
        <v/>
      </c>
      <c r="Y243" s="0" t="str">
        <f aca="false">IFERROR(CONCATENATE((INDEX($A$7:$A$165,SMALL(IF($Z$7:$Z$165&lt;&gt;"",IF($W$7:$W$165&lt;&gt;"",ROW($W$7:$W$165)-MIN(ROW($W$7:$W$165))+1,""),""),ROW()-ROW(A$167)+1))),),"")</f>
        <v/>
      </c>
    </row>
    <row r="244" customFormat="false" ht="13.8" hidden="false" customHeight="false" outlineLevel="0" collapsed="false">
      <c r="K244" s="0" t="str">
        <f aca="false">IFERROR(CONCATENATE(TEXT(INDEX($K$7:$K$165,SMALL(IF($N$7:$N$165&lt;&gt;"",IF($K$7:$K$165&lt;&gt;"",ROW($K$7:$K$165)-MIN(ROW($K$7:$K$165))+1,""),""),ROW()-ROW(A$167)+1)),"##0"),","),"")</f>
        <v/>
      </c>
      <c r="L244" s="0" t="str">
        <f aca="false">IFERROR(CONCATENATE((INDEX($N$7:$N$165,SMALL(IF($N$7:$N$165&lt;&gt;"",IF($K$7:$K$165&lt;&gt;"",ROW($K$7:$K$165)-MIN(ROW($K$7:$K$165))+1,""),""),ROW()-ROW(A$167)+1))),","),"")</f>
        <v/>
      </c>
      <c r="M244" s="0" t="str">
        <f aca="false">IFERROR(CONCATENATE((INDEX($A$7:$A$165,SMALL(IF($N$7:$N$165&lt;&gt;"",IF($K$7:$K$165&lt;&gt;"",ROW($K$7:$K$165)-MIN(ROW($K$7:$K$165))+1,""),""),ROW()-ROW(A$167)+1))),),"")</f>
        <v/>
      </c>
      <c r="Q244" s="0" t="str">
        <f aca="false">IFERROR(CONCATENATE((INDEX($T$7:$T$165,SMALL(IF($T$7:$T$165&lt;&gt;"",IF($Q$7:$Q$165&lt;&gt;"",ROW($Q$7:$Q$165)-MIN(ROW($Q$7:$Q$165))+1,""),""),ROW()-ROW(A$167)+1)))," "),"")</f>
        <v/>
      </c>
      <c r="R244" s="0" t="str">
        <f aca="false">IFERROR(CONCATENATE(TEXT(INDEX($Q$7:$Q$165,SMALL(IF($T$7:$T$165&lt;&gt;"",IF($Q$7:$Q$165&lt;&gt;"",ROW($Q$7:$Q$165)-MIN(ROW($Q$7:$Q$165))+1,""),""),ROW()-ROW(A$167)+1)),"##0")," "),"")</f>
        <v/>
      </c>
      <c r="S244" s="0" t="str">
        <f aca="false">IFERROR(CONCATENATE((INDEX($A$7:$A$165,SMALL(IF($T$7:$T$165&lt;&gt;"",IF($Q$7:$Q$165&lt;&gt;"",ROW($Q$7:$Q$165)-MIN(ROW($Q$7:$Q$165))+1,""),""),ROW()-ROW(A$167)+1))),),"")</f>
        <v/>
      </c>
      <c r="W244" s="0" t="str">
        <f aca="false">IFERROR(CONCATENATE((INDEX($Z$7:$Z$165,SMALL(IF($Z$7:$Z$165&lt;&gt;"",IF($W$7:$W$165&lt;&gt;"",ROW($W$7:$W$165)-MIN(ROW($W$7:$W$165))+1,""),""),ROW()-ROW(A$167)+1))),","),"")</f>
        <v/>
      </c>
      <c r="X244" s="0" t="str">
        <f aca="false">IFERROR(CONCATENATE(TEXT(INDEX($W$7:$W$165,SMALL(IF($Z$7:$Z$165&lt;&gt;"",IF($W$7:$W$165&lt;&gt;"",ROW($W$7:$W$165)-MIN(ROW($W$7:$W$165))+1,""),""),ROW()-ROW(A$167)+1)),"##0"),","),"")</f>
        <v/>
      </c>
      <c r="Y244" s="0" t="str">
        <f aca="false">IFERROR(CONCATENATE((INDEX($A$7:$A$165,SMALL(IF($Z$7:$Z$165&lt;&gt;"",IF($W$7:$W$165&lt;&gt;"",ROW($W$7:$W$165)-MIN(ROW($W$7:$W$165))+1,""),""),ROW()-ROW(A$167)+1))),),"")</f>
        <v/>
      </c>
    </row>
    <row r="245" customFormat="false" ht="13.8" hidden="false" customHeight="false" outlineLevel="0" collapsed="false">
      <c r="K245" s="0" t="str">
        <f aca="false">IFERROR(CONCATENATE(TEXT(INDEX($K$7:$K$165,SMALL(IF($N$7:$N$165&lt;&gt;"",IF($K$7:$K$165&lt;&gt;"",ROW($K$7:$K$165)-MIN(ROW($K$7:$K$165))+1,""),""),ROW()-ROW(A$167)+1)),"##0"),","),"")</f>
        <v/>
      </c>
      <c r="L245" s="0" t="str">
        <f aca="false">IFERROR(CONCATENATE((INDEX($N$7:$N$165,SMALL(IF($N$7:$N$165&lt;&gt;"",IF($K$7:$K$165&lt;&gt;"",ROW($K$7:$K$165)-MIN(ROW($K$7:$K$165))+1,""),""),ROW()-ROW(A$167)+1))),","),"")</f>
        <v/>
      </c>
      <c r="M245" s="0" t="str">
        <f aca="false">IFERROR(CONCATENATE((INDEX($A$7:$A$165,SMALL(IF($N$7:$N$165&lt;&gt;"",IF($K$7:$K$165&lt;&gt;"",ROW($K$7:$K$165)-MIN(ROW($K$7:$K$165))+1,""),""),ROW()-ROW(A$167)+1))),),"")</f>
        <v/>
      </c>
      <c r="Q245" s="0" t="str">
        <f aca="false">IFERROR(CONCATENATE((INDEX($T$7:$T$165,SMALL(IF($T$7:$T$165&lt;&gt;"",IF($Q$7:$Q$165&lt;&gt;"",ROW($Q$7:$Q$165)-MIN(ROW($Q$7:$Q$165))+1,""),""),ROW()-ROW(A$167)+1)))," "),"")</f>
        <v/>
      </c>
      <c r="R245" s="0" t="str">
        <f aca="false">IFERROR(CONCATENATE(TEXT(INDEX($Q$7:$Q$165,SMALL(IF($T$7:$T$165&lt;&gt;"",IF($Q$7:$Q$165&lt;&gt;"",ROW($Q$7:$Q$165)-MIN(ROW($Q$7:$Q$165))+1,""),""),ROW()-ROW(A$167)+1)),"##0")," "),"")</f>
        <v/>
      </c>
      <c r="S245" s="0" t="str">
        <f aca="false">IFERROR(CONCATENATE((INDEX($A$7:$A$165,SMALL(IF($T$7:$T$165&lt;&gt;"",IF($Q$7:$Q$165&lt;&gt;"",ROW($Q$7:$Q$165)-MIN(ROW($Q$7:$Q$165))+1,""),""),ROW()-ROW(A$167)+1))),),"")</f>
        <v/>
      </c>
      <c r="W245" s="0" t="str">
        <f aca="false">IFERROR(CONCATENATE((INDEX($Z$7:$Z$165,SMALL(IF($Z$7:$Z$165&lt;&gt;"",IF($W$7:$W$165&lt;&gt;"",ROW($W$7:$W$165)-MIN(ROW($W$7:$W$165))+1,""),""),ROW()-ROW(A$167)+1))),","),"")</f>
        <v/>
      </c>
      <c r="X245" s="0" t="str">
        <f aca="false">IFERROR(CONCATENATE(TEXT(INDEX($W$7:$W$165,SMALL(IF($Z$7:$Z$165&lt;&gt;"",IF($W$7:$W$165&lt;&gt;"",ROW($W$7:$W$165)-MIN(ROW($W$7:$W$165))+1,""),""),ROW()-ROW(A$167)+1)),"##0"),","),"")</f>
        <v/>
      </c>
      <c r="Y245" s="0" t="str">
        <f aca="false">IFERROR(CONCATENATE((INDEX($A$7:$A$165,SMALL(IF($Z$7:$Z$165&lt;&gt;"",IF($W$7:$W$165&lt;&gt;"",ROW($W$7:$W$165)-MIN(ROW($W$7:$W$165))+1,""),""),ROW()-ROW(A$167)+1))),),"")</f>
        <v/>
      </c>
    </row>
    <row r="246" customFormat="false" ht="13.8" hidden="false" customHeight="false" outlineLevel="0" collapsed="false">
      <c r="K246" s="0" t="str">
        <f aca="false">IFERROR(CONCATENATE(TEXT(INDEX($K$7:$K$165,SMALL(IF($N$7:$N$165&lt;&gt;"",IF($K$7:$K$165&lt;&gt;"",ROW($K$7:$K$165)-MIN(ROW($K$7:$K$165))+1,""),""),ROW()-ROW(A$167)+1)),"##0"),","),"")</f>
        <v/>
      </c>
      <c r="L246" s="0" t="str">
        <f aca="false">IFERROR(CONCATENATE((INDEX($N$7:$N$165,SMALL(IF($N$7:$N$165&lt;&gt;"",IF($K$7:$K$165&lt;&gt;"",ROW($K$7:$K$165)-MIN(ROW($K$7:$K$165))+1,""),""),ROW()-ROW(A$167)+1))),","),"")</f>
        <v/>
      </c>
      <c r="M246" s="0" t="str">
        <f aca="false">IFERROR(CONCATENATE((INDEX($A$7:$A$165,SMALL(IF($N$7:$N$165&lt;&gt;"",IF($K$7:$K$165&lt;&gt;"",ROW($K$7:$K$165)-MIN(ROW($K$7:$K$165))+1,""),""),ROW()-ROW(A$167)+1))),),"")</f>
        <v/>
      </c>
      <c r="Q246" s="0" t="str">
        <f aca="false">IFERROR(CONCATENATE((INDEX($T$7:$T$165,SMALL(IF($T$7:$T$165&lt;&gt;"",IF($Q$7:$Q$165&lt;&gt;"",ROW($Q$7:$Q$165)-MIN(ROW($Q$7:$Q$165))+1,""),""),ROW()-ROW(A$167)+1)))," "),"")</f>
        <v/>
      </c>
      <c r="R246" s="0" t="str">
        <f aca="false">IFERROR(CONCATENATE(TEXT(INDEX($Q$7:$Q$165,SMALL(IF($T$7:$T$165&lt;&gt;"",IF($Q$7:$Q$165&lt;&gt;"",ROW($Q$7:$Q$165)-MIN(ROW($Q$7:$Q$165))+1,""),""),ROW()-ROW(A$167)+1)),"##0")," "),"")</f>
        <v/>
      </c>
      <c r="S246" s="0" t="str">
        <f aca="false">IFERROR(CONCATENATE((INDEX($A$7:$A$165,SMALL(IF($T$7:$T$165&lt;&gt;"",IF($Q$7:$Q$165&lt;&gt;"",ROW($Q$7:$Q$165)-MIN(ROW($Q$7:$Q$165))+1,""),""),ROW()-ROW(A$167)+1))),),"")</f>
        <v/>
      </c>
      <c r="W246" s="0" t="str">
        <f aca="false">IFERROR(CONCATENATE((INDEX($Z$7:$Z$165,SMALL(IF($Z$7:$Z$165&lt;&gt;"",IF($W$7:$W$165&lt;&gt;"",ROW($W$7:$W$165)-MIN(ROW($W$7:$W$165))+1,""),""),ROW()-ROW(A$167)+1))),","),"")</f>
        <v/>
      </c>
      <c r="X246" s="0" t="str">
        <f aca="false">IFERROR(CONCATENATE(TEXT(INDEX($W$7:$W$165,SMALL(IF($Z$7:$Z$165&lt;&gt;"",IF($W$7:$W$165&lt;&gt;"",ROW($W$7:$W$165)-MIN(ROW($W$7:$W$165))+1,""),""),ROW()-ROW(A$167)+1)),"##0"),","),"")</f>
        <v/>
      </c>
      <c r="Y246" s="0" t="str">
        <f aca="false">IFERROR(CONCATENATE((INDEX($A$7:$A$165,SMALL(IF($Z$7:$Z$165&lt;&gt;"",IF($W$7:$W$165&lt;&gt;"",ROW($W$7:$W$165)-MIN(ROW($W$7:$W$165))+1,""),""),ROW()-ROW(A$167)+1))),),"")</f>
        <v/>
      </c>
    </row>
    <row r="247" customFormat="false" ht="13.8" hidden="false" customHeight="false" outlineLevel="0" collapsed="false">
      <c r="K247" s="0" t="str">
        <f aca="false">IFERROR(CONCATENATE(TEXT(INDEX($K$7:$K$165,SMALL(IF($N$7:$N$165&lt;&gt;"",IF($K$7:$K$165&lt;&gt;"",ROW($K$7:$K$165)-MIN(ROW($K$7:$K$165))+1,""),""),ROW()-ROW(A$167)+1)),"##0"),","),"")</f>
        <v/>
      </c>
      <c r="L247" s="0" t="str">
        <f aca="false">IFERROR(CONCATENATE((INDEX($N$7:$N$165,SMALL(IF($N$7:$N$165&lt;&gt;"",IF($K$7:$K$165&lt;&gt;"",ROW($K$7:$K$165)-MIN(ROW($K$7:$K$165))+1,""),""),ROW()-ROW(A$167)+1))),","),"")</f>
        <v/>
      </c>
      <c r="M247" s="0" t="str">
        <f aca="false">IFERROR(CONCATENATE((INDEX($A$7:$A$165,SMALL(IF($N$7:$N$165&lt;&gt;"",IF($K$7:$K$165&lt;&gt;"",ROW($K$7:$K$165)-MIN(ROW($K$7:$K$165))+1,""),""),ROW()-ROW(A$167)+1))),),"")</f>
        <v/>
      </c>
      <c r="Q247" s="0" t="str">
        <f aca="false">IFERROR(CONCATENATE((INDEX($T$7:$T$165,SMALL(IF($T$7:$T$165&lt;&gt;"",IF($Q$7:$Q$165&lt;&gt;"",ROW($Q$7:$Q$165)-MIN(ROW($Q$7:$Q$165))+1,""),""),ROW()-ROW(A$167)+1)))," "),"")</f>
        <v/>
      </c>
      <c r="R247" s="0" t="str">
        <f aca="false">IFERROR(CONCATENATE(TEXT(INDEX($Q$7:$Q$165,SMALL(IF($T$7:$T$165&lt;&gt;"",IF($Q$7:$Q$165&lt;&gt;"",ROW($Q$7:$Q$165)-MIN(ROW($Q$7:$Q$165))+1,""),""),ROW()-ROW(A$167)+1)),"##0")," "),"")</f>
        <v/>
      </c>
      <c r="S247" s="0" t="str">
        <f aca="false">IFERROR(CONCATENATE((INDEX($A$7:$A$165,SMALL(IF($T$7:$T$165&lt;&gt;"",IF($Q$7:$Q$165&lt;&gt;"",ROW($Q$7:$Q$165)-MIN(ROW($Q$7:$Q$165))+1,""),""),ROW()-ROW(A$167)+1))),),"")</f>
        <v/>
      </c>
      <c r="W247" s="0" t="str">
        <f aca="false">IFERROR(CONCATENATE((INDEX($Z$7:$Z$165,SMALL(IF($Z$7:$Z$165&lt;&gt;"",IF($W$7:$W$165&lt;&gt;"",ROW($W$7:$W$165)-MIN(ROW($W$7:$W$165))+1,""),""),ROW()-ROW(A$167)+1))),","),"")</f>
        <v/>
      </c>
      <c r="X247" s="0" t="str">
        <f aca="false">IFERROR(CONCATENATE(TEXT(INDEX($W$7:$W$165,SMALL(IF($Z$7:$Z$165&lt;&gt;"",IF($W$7:$W$165&lt;&gt;"",ROW($W$7:$W$165)-MIN(ROW($W$7:$W$165))+1,""),""),ROW()-ROW(A$167)+1)),"##0"),","),"")</f>
        <v/>
      </c>
      <c r="Y247" s="0" t="str">
        <f aca="false">IFERROR(CONCATENATE((INDEX($A$7:$A$165,SMALL(IF($Z$7:$Z$165&lt;&gt;"",IF($W$7:$W$165&lt;&gt;"",ROW($W$7:$W$165)-MIN(ROW($W$7:$W$165))+1,""),""),ROW()-ROW(A$167)+1))),),"")</f>
        <v/>
      </c>
    </row>
    <row r="248" customFormat="false" ht="13.8" hidden="false" customHeight="false" outlineLevel="0" collapsed="false">
      <c r="K248" s="0" t="str">
        <f aca="false">IFERROR(CONCATENATE(TEXT(INDEX($K$7:$K$165,SMALL(IF($N$7:$N$165&lt;&gt;"",IF($K$7:$K$165&lt;&gt;"",ROW($K$7:$K$165)-MIN(ROW($K$7:$K$165))+1,""),""),ROW()-ROW(A$167)+1)),"##0"),","),"")</f>
        <v/>
      </c>
      <c r="L248" s="0" t="str">
        <f aca="false">IFERROR(CONCATENATE((INDEX($N$7:$N$165,SMALL(IF($N$7:$N$165&lt;&gt;"",IF($K$7:$K$165&lt;&gt;"",ROW($K$7:$K$165)-MIN(ROW($K$7:$K$165))+1,""),""),ROW()-ROW(A$167)+1))),","),"")</f>
        <v/>
      </c>
      <c r="M248" s="0" t="str">
        <f aca="false">IFERROR(CONCATENATE((INDEX($A$7:$A$165,SMALL(IF($N$7:$N$165&lt;&gt;"",IF($K$7:$K$165&lt;&gt;"",ROW($K$7:$K$165)-MIN(ROW($K$7:$K$165))+1,""),""),ROW()-ROW(A$167)+1))),),"")</f>
        <v/>
      </c>
      <c r="Q248" s="0" t="str">
        <f aca="false">IFERROR(CONCATENATE((INDEX($T$7:$T$165,SMALL(IF($T$7:$T$165&lt;&gt;"",IF($Q$7:$Q$165&lt;&gt;"",ROW($Q$7:$Q$165)-MIN(ROW($Q$7:$Q$165))+1,""),""),ROW()-ROW(A$167)+1)))," "),"")</f>
        <v/>
      </c>
      <c r="R248" s="0" t="str">
        <f aca="false">IFERROR(CONCATENATE(TEXT(INDEX($Q$7:$Q$165,SMALL(IF($T$7:$T$165&lt;&gt;"",IF($Q$7:$Q$165&lt;&gt;"",ROW($Q$7:$Q$165)-MIN(ROW($Q$7:$Q$165))+1,""),""),ROW()-ROW(A$167)+1)),"##0")," "),"")</f>
        <v/>
      </c>
      <c r="S248" s="0" t="str">
        <f aca="false">IFERROR(CONCATENATE((INDEX($A$7:$A$165,SMALL(IF($T$7:$T$165&lt;&gt;"",IF($Q$7:$Q$165&lt;&gt;"",ROW($Q$7:$Q$165)-MIN(ROW($Q$7:$Q$165))+1,""),""),ROW()-ROW(A$167)+1))),),"")</f>
        <v/>
      </c>
      <c r="W248" s="0" t="str">
        <f aca="false">IFERROR(CONCATENATE((INDEX($Z$7:$Z$165,SMALL(IF($Z$7:$Z$165&lt;&gt;"",IF($W$7:$W$165&lt;&gt;"",ROW($W$7:$W$165)-MIN(ROW($W$7:$W$165))+1,""),""),ROW()-ROW(A$167)+1))),","),"")</f>
        <v/>
      </c>
      <c r="X248" s="0" t="str">
        <f aca="false">IFERROR(CONCATENATE(TEXT(INDEX($W$7:$W$165,SMALL(IF($Z$7:$Z$165&lt;&gt;"",IF($W$7:$W$165&lt;&gt;"",ROW($W$7:$W$165)-MIN(ROW($W$7:$W$165))+1,""),""),ROW()-ROW(A$167)+1)),"##0"),","),"")</f>
        <v/>
      </c>
      <c r="Y248" s="0" t="str">
        <f aca="false">IFERROR(CONCATENATE((INDEX($A$7:$A$165,SMALL(IF($Z$7:$Z$165&lt;&gt;"",IF($W$7:$W$165&lt;&gt;"",ROW($W$7:$W$165)-MIN(ROW($W$7:$W$165))+1,""),""),ROW()-ROW(A$167)+1))),),"")</f>
        <v/>
      </c>
    </row>
    <row r="249" customFormat="false" ht="13.8" hidden="false" customHeight="false" outlineLevel="0" collapsed="false">
      <c r="K249" s="0" t="str">
        <f aca="false">IFERROR(CONCATENATE(TEXT(INDEX($K$7:$K$165,SMALL(IF($N$7:$N$165&lt;&gt;"",IF($K$7:$K$165&lt;&gt;"",ROW($K$7:$K$165)-MIN(ROW($K$7:$K$165))+1,""),""),ROW()-ROW(A$167)+1)),"##0"),","),"")</f>
        <v/>
      </c>
      <c r="L249" s="0" t="str">
        <f aca="false">IFERROR(CONCATENATE((INDEX($N$7:$N$165,SMALL(IF($N$7:$N$165&lt;&gt;"",IF($K$7:$K$165&lt;&gt;"",ROW($K$7:$K$165)-MIN(ROW($K$7:$K$165))+1,""),""),ROW()-ROW(A$167)+1))),","),"")</f>
        <v/>
      </c>
      <c r="M249" s="0" t="str">
        <f aca="false">IFERROR(CONCATENATE((INDEX($A$7:$A$165,SMALL(IF($N$7:$N$165&lt;&gt;"",IF($K$7:$K$165&lt;&gt;"",ROW($K$7:$K$165)-MIN(ROW($K$7:$K$165))+1,""),""),ROW()-ROW(A$167)+1))),),"")</f>
        <v/>
      </c>
      <c r="Q249" s="0" t="str">
        <f aca="false">IFERROR(CONCATENATE((INDEX($T$7:$T$165,SMALL(IF($T$7:$T$165&lt;&gt;"",IF($Q$7:$Q$165&lt;&gt;"",ROW($Q$7:$Q$165)-MIN(ROW($Q$7:$Q$165))+1,""),""),ROW()-ROW(A$167)+1)))," "),"")</f>
        <v/>
      </c>
      <c r="R249" s="0" t="str">
        <f aca="false">IFERROR(CONCATENATE(TEXT(INDEX($Q$7:$Q$165,SMALL(IF($T$7:$T$165&lt;&gt;"",IF($Q$7:$Q$165&lt;&gt;"",ROW($Q$7:$Q$165)-MIN(ROW($Q$7:$Q$165))+1,""),""),ROW()-ROW(A$167)+1)),"##0")," "),"")</f>
        <v/>
      </c>
      <c r="S249" s="0" t="str">
        <f aca="false">IFERROR(CONCATENATE((INDEX($A$7:$A$165,SMALL(IF($T$7:$T$165&lt;&gt;"",IF($Q$7:$Q$165&lt;&gt;"",ROW($Q$7:$Q$165)-MIN(ROW($Q$7:$Q$165))+1,""),""),ROW()-ROW(A$167)+1))),),"")</f>
        <v/>
      </c>
      <c r="W249" s="0" t="str">
        <f aca="false">IFERROR(CONCATENATE((INDEX($Z$7:$Z$165,SMALL(IF($Z$7:$Z$165&lt;&gt;"",IF($W$7:$W$165&lt;&gt;"",ROW($W$7:$W$165)-MIN(ROW($W$7:$W$165))+1,""),""),ROW()-ROW(A$167)+1))),","),"")</f>
        <v/>
      </c>
      <c r="X249" s="0" t="str">
        <f aca="false">IFERROR(CONCATENATE(TEXT(INDEX($W$7:$W$165,SMALL(IF($Z$7:$Z$165&lt;&gt;"",IF($W$7:$W$165&lt;&gt;"",ROW($W$7:$W$165)-MIN(ROW($W$7:$W$165))+1,""),""),ROW()-ROW(A$167)+1)),"##0"),","),"")</f>
        <v/>
      </c>
      <c r="Y249" s="0" t="str">
        <f aca="false">IFERROR(CONCATENATE((INDEX($A$7:$A$165,SMALL(IF($Z$7:$Z$165&lt;&gt;"",IF($W$7:$W$165&lt;&gt;"",ROW($W$7:$W$165)-MIN(ROW($W$7:$W$165))+1,""),""),ROW()-ROW(A$167)+1))),),"")</f>
        <v/>
      </c>
    </row>
    <row r="250" customFormat="false" ht="13.8" hidden="false" customHeight="false" outlineLevel="0" collapsed="false">
      <c r="K250" s="0" t="str">
        <f aca="false">IFERROR(CONCATENATE(TEXT(INDEX($K$7:$K$165,SMALL(IF($N$7:$N$165&lt;&gt;"",IF($K$7:$K$165&lt;&gt;"",ROW($K$7:$K$165)-MIN(ROW($K$7:$K$165))+1,""),""),ROW()-ROW(A$167)+1)),"##0"),","),"")</f>
        <v/>
      </c>
      <c r="L250" s="0" t="str">
        <f aca="false">IFERROR(CONCATENATE((INDEX($N$7:$N$165,SMALL(IF($N$7:$N$165&lt;&gt;"",IF($K$7:$K$165&lt;&gt;"",ROW($K$7:$K$165)-MIN(ROW($K$7:$K$165))+1,""),""),ROW()-ROW(A$167)+1))),","),"")</f>
        <v/>
      </c>
      <c r="M250" s="0" t="str">
        <f aca="false">IFERROR(CONCATENATE((INDEX($A$7:$A$165,SMALL(IF($N$7:$N$165&lt;&gt;"",IF($K$7:$K$165&lt;&gt;"",ROW($K$7:$K$165)-MIN(ROW($K$7:$K$165))+1,""),""),ROW()-ROW(A$167)+1))),),"")</f>
        <v/>
      </c>
      <c r="Q250" s="0" t="str">
        <f aca="false">IFERROR(CONCATENATE((INDEX($T$7:$T$165,SMALL(IF($T$7:$T$165&lt;&gt;"",IF($Q$7:$Q$165&lt;&gt;"",ROW($Q$7:$Q$165)-MIN(ROW($Q$7:$Q$165))+1,""),""),ROW()-ROW(A$167)+1)))," "),"")</f>
        <v/>
      </c>
      <c r="R250" s="0" t="str">
        <f aca="false">IFERROR(CONCATENATE(TEXT(INDEX($Q$7:$Q$165,SMALL(IF($T$7:$T$165&lt;&gt;"",IF($Q$7:$Q$165&lt;&gt;"",ROW($Q$7:$Q$165)-MIN(ROW($Q$7:$Q$165))+1,""),""),ROW()-ROW(A$167)+1)),"##0")," "),"")</f>
        <v/>
      </c>
      <c r="S250" s="0" t="str">
        <f aca="false">IFERROR(CONCATENATE((INDEX($A$7:$A$165,SMALL(IF($T$7:$T$165&lt;&gt;"",IF($Q$7:$Q$165&lt;&gt;"",ROW($Q$7:$Q$165)-MIN(ROW($Q$7:$Q$165))+1,""),""),ROW()-ROW(A$167)+1))),),"")</f>
        <v/>
      </c>
      <c r="W250" s="0" t="str">
        <f aca="false">IFERROR(CONCATENATE((INDEX($Z$7:$Z$165,SMALL(IF($Z$7:$Z$165&lt;&gt;"",IF($W$7:$W$165&lt;&gt;"",ROW($W$7:$W$165)-MIN(ROW($W$7:$W$165))+1,""),""),ROW()-ROW(A$167)+1))),","),"")</f>
        <v/>
      </c>
      <c r="X250" s="0" t="str">
        <f aca="false">IFERROR(CONCATENATE(TEXT(INDEX($W$7:$W$165,SMALL(IF($Z$7:$Z$165&lt;&gt;"",IF($W$7:$W$165&lt;&gt;"",ROW($W$7:$W$165)-MIN(ROW($W$7:$W$165))+1,""),""),ROW()-ROW(A$167)+1)),"##0"),","),"")</f>
        <v/>
      </c>
      <c r="Y250" s="0" t="str">
        <f aca="false">IFERROR(CONCATENATE((INDEX($A$7:$A$165,SMALL(IF($Z$7:$Z$165&lt;&gt;"",IF($W$7:$W$165&lt;&gt;"",ROW($W$7:$W$165)-MIN(ROW($W$7:$W$165))+1,""),""),ROW()-ROW(A$167)+1))),),"")</f>
        <v/>
      </c>
    </row>
    <row r="251" customFormat="false" ht="13.8" hidden="false" customHeight="false" outlineLevel="0" collapsed="false">
      <c r="K251" s="0" t="str">
        <f aca="false">IFERROR(CONCATENATE(TEXT(INDEX($K$7:$K$165,SMALL(IF($N$7:$N$165&lt;&gt;"",IF($K$7:$K$165&lt;&gt;"",ROW($K$7:$K$165)-MIN(ROW($K$7:$K$165))+1,""),""),ROW()-ROW(A$167)+1)),"##0"),","),"")</f>
        <v/>
      </c>
      <c r="L251" s="0" t="str">
        <f aca="false">IFERROR(CONCATENATE((INDEX($N$7:$N$165,SMALL(IF($N$7:$N$165&lt;&gt;"",IF($K$7:$K$165&lt;&gt;"",ROW($K$7:$K$165)-MIN(ROW($K$7:$K$165))+1,""),""),ROW()-ROW(A$167)+1))),","),"")</f>
        <v/>
      </c>
      <c r="M251" s="0" t="str">
        <f aca="false">IFERROR(CONCATENATE((INDEX($A$7:$A$165,SMALL(IF($N$7:$N$165&lt;&gt;"",IF($K$7:$K$165&lt;&gt;"",ROW($K$7:$K$165)-MIN(ROW($K$7:$K$165))+1,""),""),ROW()-ROW(A$167)+1))),),"")</f>
        <v/>
      </c>
      <c r="Q251" s="0" t="str">
        <f aca="false">IFERROR(CONCATENATE((INDEX($T$7:$T$165,SMALL(IF($T$7:$T$165&lt;&gt;"",IF($Q$7:$Q$165&lt;&gt;"",ROW($Q$7:$Q$165)-MIN(ROW($Q$7:$Q$165))+1,""),""),ROW()-ROW(A$167)+1)))," "),"")</f>
        <v/>
      </c>
      <c r="R251" s="0" t="str">
        <f aca="false">IFERROR(CONCATENATE(TEXT(INDEX($Q$7:$Q$165,SMALL(IF($T$7:$T$165&lt;&gt;"",IF($Q$7:$Q$165&lt;&gt;"",ROW($Q$7:$Q$165)-MIN(ROW($Q$7:$Q$165))+1,""),""),ROW()-ROW(A$167)+1)),"##0")," "),"")</f>
        <v/>
      </c>
      <c r="S251" s="0" t="str">
        <f aca="false">IFERROR(CONCATENATE((INDEX($A$7:$A$165,SMALL(IF($T$7:$T$165&lt;&gt;"",IF($Q$7:$Q$165&lt;&gt;"",ROW($Q$7:$Q$165)-MIN(ROW($Q$7:$Q$165))+1,""),""),ROW()-ROW(A$167)+1))),),"")</f>
        <v/>
      </c>
      <c r="W251" s="0" t="str">
        <f aca="false">IFERROR(CONCATENATE((INDEX($Z$7:$Z$165,SMALL(IF($Z$7:$Z$165&lt;&gt;"",IF($W$7:$W$165&lt;&gt;"",ROW($W$7:$W$165)-MIN(ROW($W$7:$W$165))+1,""),""),ROW()-ROW(A$167)+1))),","),"")</f>
        <v/>
      </c>
      <c r="X251" s="0" t="str">
        <f aca="false">IFERROR(CONCATENATE(TEXT(INDEX($W$7:$W$165,SMALL(IF($Z$7:$Z$165&lt;&gt;"",IF($W$7:$W$165&lt;&gt;"",ROW($W$7:$W$165)-MIN(ROW($W$7:$W$165))+1,""),""),ROW()-ROW(A$167)+1)),"##0"),","),"")</f>
        <v/>
      </c>
      <c r="Y251" s="0" t="str">
        <f aca="false">IFERROR(CONCATENATE((INDEX($A$7:$A$165,SMALL(IF($Z$7:$Z$165&lt;&gt;"",IF($W$7:$W$165&lt;&gt;"",ROW($W$7:$W$165)-MIN(ROW($W$7:$W$165))+1,""),""),ROW()-ROW(A$167)+1))),),"")</f>
        <v/>
      </c>
    </row>
    <row r="252" customFormat="false" ht="13.8" hidden="false" customHeight="false" outlineLevel="0" collapsed="false">
      <c r="K252" s="0" t="str">
        <f aca="false">IFERROR(CONCATENATE(TEXT(INDEX($K$7:$K$165,SMALL(IF($N$7:$N$165&lt;&gt;"",IF($K$7:$K$165&lt;&gt;"",ROW($K$7:$K$165)-MIN(ROW($K$7:$K$165))+1,""),""),ROW()-ROW(A$167)+1)),"##0"),","),"")</f>
        <v/>
      </c>
      <c r="L252" s="0" t="str">
        <f aca="false">IFERROR(CONCATENATE((INDEX($N$7:$N$165,SMALL(IF($N$7:$N$165&lt;&gt;"",IF($K$7:$K$165&lt;&gt;"",ROW($K$7:$K$165)-MIN(ROW($K$7:$K$165))+1,""),""),ROW()-ROW(A$167)+1))),","),"")</f>
        <v/>
      </c>
      <c r="M252" s="0" t="str">
        <f aca="false">IFERROR(CONCATENATE((INDEX($A$7:$A$165,SMALL(IF($N$7:$N$165&lt;&gt;"",IF($K$7:$K$165&lt;&gt;"",ROW($K$7:$K$165)-MIN(ROW($K$7:$K$165))+1,""),""),ROW()-ROW(A$167)+1))),),"")</f>
        <v/>
      </c>
      <c r="Q252" s="0" t="str">
        <f aca="false">IFERROR(CONCATENATE((INDEX($T$7:$T$165,SMALL(IF($T$7:$T$165&lt;&gt;"",IF($Q$7:$Q$165&lt;&gt;"",ROW($Q$7:$Q$165)-MIN(ROW($Q$7:$Q$165))+1,""),""),ROW()-ROW(A$167)+1)))," "),"")</f>
        <v/>
      </c>
      <c r="R252" s="0" t="str">
        <f aca="false">IFERROR(CONCATENATE(TEXT(INDEX($Q$7:$Q$165,SMALL(IF($T$7:$T$165&lt;&gt;"",IF($Q$7:$Q$165&lt;&gt;"",ROW($Q$7:$Q$165)-MIN(ROW($Q$7:$Q$165))+1,""),""),ROW()-ROW(A$167)+1)),"##0")," "),"")</f>
        <v/>
      </c>
      <c r="S252" s="0" t="str">
        <f aca="false">IFERROR(CONCATENATE((INDEX($A$7:$A$165,SMALL(IF($T$7:$T$165&lt;&gt;"",IF($Q$7:$Q$165&lt;&gt;"",ROW($Q$7:$Q$165)-MIN(ROW($Q$7:$Q$165))+1,""),""),ROW()-ROW(A$167)+1))),),"")</f>
        <v/>
      </c>
      <c r="W252" s="0" t="str">
        <f aca="false">IFERROR(CONCATENATE((INDEX($Z$7:$Z$165,SMALL(IF($Z$7:$Z$165&lt;&gt;"",IF($W$7:$W$165&lt;&gt;"",ROW($W$7:$W$165)-MIN(ROW($W$7:$W$165))+1,""),""),ROW()-ROW(A$167)+1))),","),"")</f>
        <v/>
      </c>
      <c r="X252" s="0" t="str">
        <f aca="false">IFERROR(CONCATENATE(TEXT(INDEX($W$7:$W$165,SMALL(IF($Z$7:$Z$165&lt;&gt;"",IF($W$7:$W$165&lt;&gt;"",ROW($W$7:$W$165)-MIN(ROW($W$7:$W$165))+1,""),""),ROW()-ROW(A$167)+1)),"##0"),","),"")</f>
        <v/>
      </c>
      <c r="Y252" s="0" t="str">
        <f aca="false">IFERROR(CONCATENATE((INDEX($A$7:$A$165,SMALL(IF($Z$7:$Z$165&lt;&gt;"",IF($W$7:$W$165&lt;&gt;"",ROW($W$7:$W$165)-MIN(ROW($W$7:$W$165))+1,""),""),ROW()-ROW(A$167)+1))),),"")</f>
        <v/>
      </c>
    </row>
    <row r="253" customFormat="false" ht="13.8" hidden="false" customHeight="false" outlineLevel="0" collapsed="false">
      <c r="K253" s="0" t="str">
        <f aca="false">IFERROR(CONCATENATE(TEXT(INDEX($K$7:$K$165,SMALL(IF($N$7:$N$165&lt;&gt;"",IF($K$7:$K$165&lt;&gt;"",ROW($K$7:$K$165)-MIN(ROW($K$7:$K$165))+1,""),""),ROW()-ROW(A$167)+1)),"##0"),","),"")</f>
        <v/>
      </c>
      <c r="L253" s="0" t="str">
        <f aca="false">IFERROR(CONCATENATE((INDEX($N$7:$N$165,SMALL(IF($N$7:$N$165&lt;&gt;"",IF($K$7:$K$165&lt;&gt;"",ROW($K$7:$K$165)-MIN(ROW($K$7:$K$165))+1,""),""),ROW()-ROW(A$167)+1))),","),"")</f>
        <v/>
      </c>
      <c r="M253" s="0" t="str">
        <f aca="false">IFERROR(CONCATENATE((INDEX($A$7:$A$165,SMALL(IF($N$7:$N$165&lt;&gt;"",IF($K$7:$K$165&lt;&gt;"",ROW($K$7:$K$165)-MIN(ROW($K$7:$K$165))+1,""),""),ROW()-ROW(A$167)+1))),),"")</f>
        <v/>
      </c>
      <c r="Q253" s="0" t="str">
        <f aca="false">IFERROR(CONCATENATE((INDEX($T$7:$T$165,SMALL(IF($T$7:$T$165&lt;&gt;"",IF($Q$7:$Q$165&lt;&gt;"",ROW($Q$7:$Q$165)-MIN(ROW($Q$7:$Q$165))+1,""),""),ROW()-ROW(A$167)+1)))," "),"")</f>
        <v/>
      </c>
      <c r="R253" s="0" t="str">
        <f aca="false">IFERROR(CONCATENATE(TEXT(INDEX($Q$7:$Q$165,SMALL(IF($T$7:$T$165&lt;&gt;"",IF($Q$7:$Q$165&lt;&gt;"",ROW($Q$7:$Q$165)-MIN(ROW($Q$7:$Q$165))+1,""),""),ROW()-ROW(A$167)+1)),"##0")," "),"")</f>
        <v/>
      </c>
      <c r="S253" s="0" t="str">
        <f aca="false">IFERROR(CONCATENATE((INDEX($A$7:$A$165,SMALL(IF($T$7:$T$165&lt;&gt;"",IF($Q$7:$Q$165&lt;&gt;"",ROW($Q$7:$Q$165)-MIN(ROW($Q$7:$Q$165))+1,""),""),ROW()-ROW(A$167)+1))),),"")</f>
        <v/>
      </c>
      <c r="W253" s="0" t="str">
        <f aca="false">IFERROR(CONCATENATE((INDEX($Z$7:$Z$165,SMALL(IF($Z$7:$Z$165&lt;&gt;"",IF($W$7:$W$165&lt;&gt;"",ROW($W$7:$W$165)-MIN(ROW($W$7:$W$165))+1,""),""),ROW()-ROW(A$167)+1))),","),"")</f>
        <v/>
      </c>
      <c r="X253" s="0" t="str">
        <f aca="false">IFERROR(CONCATENATE(TEXT(INDEX($W$7:$W$165,SMALL(IF($Z$7:$Z$165&lt;&gt;"",IF($W$7:$W$165&lt;&gt;"",ROW($W$7:$W$165)-MIN(ROW($W$7:$W$165))+1,""),""),ROW()-ROW(A$167)+1)),"##0"),","),"")</f>
        <v/>
      </c>
      <c r="Y253" s="0" t="str">
        <f aca="false">IFERROR(CONCATENATE((INDEX($A$7:$A$165,SMALL(IF($Z$7:$Z$165&lt;&gt;"",IF($W$7:$W$165&lt;&gt;"",ROW($W$7:$W$165)-MIN(ROW($W$7:$W$165))+1,""),""),ROW()-ROW(A$167)+1))),),"")</f>
        <v/>
      </c>
    </row>
    <row r="254" customFormat="false" ht="13.8" hidden="false" customHeight="false" outlineLevel="0" collapsed="false">
      <c r="K254" s="0" t="str">
        <f aca="false">IFERROR(CONCATENATE(TEXT(INDEX($K$7:$K$165,SMALL(IF($N$7:$N$165&lt;&gt;"",IF($K$7:$K$165&lt;&gt;"",ROW($K$7:$K$165)-MIN(ROW($K$7:$K$165))+1,""),""),ROW()-ROW(A$167)+1)),"##0"),","),"")</f>
        <v/>
      </c>
      <c r="L254" s="0" t="str">
        <f aca="false">IFERROR(CONCATENATE((INDEX($N$7:$N$165,SMALL(IF($N$7:$N$165&lt;&gt;"",IF($K$7:$K$165&lt;&gt;"",ROW($K$7:$K$165)-MIN(ROW($K$7:$K$165))+1,""),""),ROW()-ROW(A$167)+1))),","),"")</f>
        <v/>
      </c>
      <c r="M254" s="0" t="str">
        <f aca="false">IFERROR(CONCATENATE((INDEX($A$7:$A$165,SMALL(IF($N$7:$N$165&lt;&gt;"",IF($K$7:$K$165&lt;&gt;"",ROW($K$7:$K$165)-MIN(ROW($K$7:$K$165))+1,""),""),ROW()-ROW(A$167)+1))),),"")</f>
        <v/>
      </c>
      <c r="Q254" s="0" t="str">
        <f aca="false">IFERROR(CONCATENATE((INDEX($T$7:$T$165,SMALL(IF($T$7:$T$165&lt;&gt;"",IF($Q$7:$Q$165&lt;&gt;"",ROW($Q$7:$Q$165)-MIN(ROW($Q$7:$Q$165))+1,""),""),ROW()-ROW(A$167)+1)))," "),"")</f>
        <v/>
      </c>
      <c r="R254" s="0" t="str">
        <f aca="false">IFERROR(CONCATENATE(TEXT(INDEX($Q$7:$Q$165,SMALL(IF($T$7:$T$165&lt;&gt;"",IF($Q$7:$Q$165&lt;&gt;"",ROW($Q$7:$Q$165)-MIN(ROW($Q$7:$Q$165))+1,""),""),ROW()-ROW(A$167)+1)),"##0")," "),"")</f>
        <v/>
      </c>
      <c r="S254" s="0" t="str">
        <f aca="false">IFERROR(CONCATENATE((INDEX($A$7:$A$165,SMALL(IF($T$7:$T$165&lt;&gt;"",IF($Q$7:$Q$165&lt;&gt;"",ROW($Q$7:$Q$165)-MIN(ROW($Q$7:$Q$165))+1,""),""),ROW()-ROW(A$167)+1))),),"")</f>
        <v/>
      </c>
      <c r="W254" s="0" t="str">
        <f aca="false">IFERROR(CONCATENATE((INDEX($Z$7:$Z$165,SMALL(IF($Z$7:$Z$165&lt;&gt;"",IF($W$7:$W$165&lt;&gt;"",ROW($W$7:$W$165)-MIN(ROW($W$7:$W$165))+1,""),""),ROW()-ROW(A$167)+1))),","),"")</f>
        <v/>
      </c>
      <c r="X254" s="0" t="str">
        <f aca="false">IFERROR(CONCATENATE(TEXT(INDEX($W$7:$W$165,SMALL(IF($Z$7:$Z$165&lt;&gt;"",IF($W$7:$W$165&lt;&gt;"",ROW($W$7:$W$165)-MIN(ROW($W$7:$W$165))+1,""),""),ROW()-ROW(A$167)+1)),"##0"),","),"")</f>
        <v/>
      </c>
      <c r="Y254" s="0" t="str">
        <f aca="false">IFERROR(CONCATENATE((INDEX($A$7:$A$165,SMALL(IF($Z$7:$Z$165&lt;&gt;"",IF($W$7:$W$165&lt;&gt;"",ROW($W$7:$W$165)-MIN(ROW($W$7:$W$165))+1,""),""),ROW()-ROW(A$167)+1))),),"")</f>
        <v/>
      </c>
    </row>
    <row r="255" customFormat="false" ht="13.8" hidden="false" customHeight="false" outlineLevel="0" collapsed="false">
      <c r="K255" s="0" t="str">
        <f aca="false">IFERROR(CONCATENATE(TEXT(INDEX($K$7:$K$165,SMALL(IF($N$7:$N$165&lt;&gt;"",IF($K$7:$K$165&lt;&gt;"",ROW($K$7:$K$165)-MIN(ROW($K$7:$K$165))+1,""),""),ROW()-ROW(A$167)+1)),"##0"),","),"")</f>
        <v/>
      </c>
      <c r="L255" s="0" t="str">
        <f aca="false">IFERROR(CONCATENATE((INDEX($N$7:$N$165,SMALL(IF($N$7:$N$165&lt;&gt;"",IF($K$7:$K$165&lt;&gt;"",ROW($K$7:$K$165)-MIN(ROW($K$7:$K$165))+1,""),""),ROW()-ROW(A$167)+1))),","),"")</f>
        <v/>
      </c>
      <c r="M255" s="0" t="str">
        <f aca="false">IFERROR(CONCATENATE((INDEX($A$7:$A$165,SMALL(IF($N$7:$N$165&lt;&gt;"",IF($K$7:$K$165&lt;&gt;"",ROW($K$7:$K$165)-MIN(ROW($K$7:$K$165))+1,""),""),ROW()-ROW(A$167)+1))),),"")</f>
        <v/>
      </c>
      <c r="Q255" s="0" t="str">
        <f aca="false">IFERROR(CONCATENATE((INDEX($T$7:$T$165,SMALL(IF($T$7:$T$165&lt;&gt;"",IF($Q$7:$Q$165&lt;&gt;"",ROW($Q$7:$Q$165)-MIN(ROW($Q$7:$Q$165))+1,""),""),ROW()-ROW(A$167)+1)))," "),"")</f>
        <v/>
      </c>
      <c r="R255" s="0" t="str">
        <f aca="false">IFERROR(CONCATENATE(TEXT(INDEX($Q$7:$Q$165,SMALL(IF($T$7:$T$165&lt;&gt;"",IF($Q$7:$Q$165&lt;&gt;"",ROW($Q$7:$Q$165)-MIN(ROW($Q$7:$Q$165))+1,""),""),ROW()-ROW(A$167)+1)),"##0")," "),"")</f>
        <v/>
      </c>
      <c r="S255" s="0" t="str">
        <f aca="false">IFERROR(CONCATENATE((INDEX($A$7:$A$165,SMALL(IF($T$7:$T$165&lt;&gt;"",IF($Q$7:$Q$165&lt;&gt;"",ROW($Q$7:$Q$165)-MIN(ROW($Q$7:$Q$165))+1,""),""),ROW()-ROW(A$167)+1))),),"")</f>
        <v/>
      </c>
      <c r="W255" s="0" t="str">
        <f aca="false">IFERROR(CONCATENATE((INDEX($Z$7:$Z$165,SMALL(IF($Z$7:$Z$165&lt;&gt;"",IF($W$7:$W$165&lt;&gt;"",ROW($W$7:$W$165)-MIN(ROW($W$7:$W$165))+1,""),""),ROW()-ROW(A$167)+1))),","),"")</f>
        <v/>
      </c>
      <c r="X255" s="0" t="str">
        <f aca="false">IFERROR(CONCATENATE(TEXT(INDEX($W$7:$W$165,SMALL(IF($Z$7:$Z$165&lt;&gt;"",IF($W$7:$W$165&lt;&gt;"",ROW($W$7:$W$165)-MIN(ROW($W$7:$W$165))+1,""),""),ROW()-ROW(A$167)+1)),"##0"),","),"")</f>
        <v/>
      </c>
      <c r="Y255" s="0" t="str">
        <f aca="false">IFERROR(CONCATENATE((INDEX($A$7:$A$165,SMALL(IF($Z$7:$Z$165&lt;&gt;"",IF($W$7:$W$165&lt;&gt;"",ROW($W$7:$W$165)-MIN(ROW($W$7:$W$165))+1,""),""),ROW()-ROW(A$167)+1))),),"")</f>
        <v/>
      </c>
    </row>
    <row r="256" customFormat="false" ht="13.8" hidden="false" customHeight="false" outlineLevel="0" collapsed="false">
      <c r="K256" s="0" t="str">
        <f aca="false">IFERROR(CONCATENATE(TEXT(INDEX($K$7:$K$165,SMALL(IF($N$7:$N$165&lt;&gt;"",IF($K$7:$K$165&lt;&gt;"",ROW($K$7:$K$165)-MIN(ROW($K$7:$K$165))+1,""),""),ROW()-ROW(A$167)+1)),"##0"),","),"")</f>
        <v/>
      </c>
      <c r="L256" s="0" t="str">
        <f aca="false">IFERROR(CONCATENATE((INDEX($N$7:$N$165,SMALL(IF($N$7:$N$165&lt;&gt;"",IF($K$7:$K$165&lt;&gt;"",ROW($K$7:$K$165)-MIN(ROW($K$7:$K$165))+1,""),""),ROW()-ROW(A$167)+1))),","),"")</f>
        <v/>
      </c>
      <c r="M256" s="0" t="str">
        <f aca="false">IFERROR(CONCATENATE((INDEX($A$7:$A$165,SMALL(IF($N$7:$N$165&lt;&gt;"",IF($K$7:$K$165&lt;&gt;"",ROW($K$7:$K$165)-MIN(ROW($K$7:$K$165))+1,""),""),ROW()-ROW(A$167)+1))),),"")</f>
        <v/>
      </c>
      <c r="Q256" s="0" t="str">
        <f aca="false">IFERROR(CONCATENATE((INDEX($T$7:$T$165,SMALL(IF($T$7:$T$165&lt;&gt;"",IF($Q$7:$Q$165&lt;&gt;"",ROW($Q$7:$Q$165)-MIN(ROW($Q$7:$Q$165))+1,""),""),ROW()-ROW(A$167)+1)))," "),"")</f>
        <v/>
      </c>
      <c r="R256" s="0" t="str">
        <f aca="false">IFERROR(CONCATENATE(TEXT(INDEX($Q$7:$Q$165,SMALL(IF($T$7:$T$165&lt;&gt;"",IF($Q$7:$Q$165&lt;&gt;"",ROW($Q$7:$Q$165)-MIN(ROW($Q$7:$Q$165))+1,""),""),ROW()-ROW(A$167)+1)),"##0")," "),"")</f>
        <v/>
      </c>
      <c r="S256" s="0" t="str">
        <f aca="false">IFERROR(CONCATENATE((INDEX($A$7:$A$165,SMALL(IF($T$7:$T$165&lt;&gt;"",IF($Q$7:$Q$165&lt;&gt;"",ROW($Q$7:$Q$165)-MIN(ROW($Q$7:$Q$165))+1,""),""),ROW()-ROW(A$167)+1))),),"")</f>
        <v/>
      </c>
      <c r="W256" s="0" t="str">
        <f aca="false">IFERROR(CONCATENATE((INDEX($Z$7:$Z$165,SMALL(IF($Z$7:$Z$165&lt;&gt;"",IF($W$7:$W$165&lt;&gt;"",ROW($W$7:$W$165)-MIN(ROW($W$7:$W$165))+1,""),""),ROW()-ROW(A$167)+1))),","),"")</f>
        <v/>
      </c>
      <c r="X256" s="0" t="str">
        <f aca="false">IFERROR(CONCATENATE(TEXT(INDEX($W$7:$W$165,SMALL(IF($Z$7:$Z$165&lt;&gt;"",IF($W$7:$W$165&lt;&gt;"",ROW($W$7:$W$165)-MIN(ROW($W$7:$W$165))+1,""),""),ROW()-ROW(A$167)+1)),"##0"),","),"")</f>
        <v/>
      </c>
      <c r="Y256" s="0" t="str">
        <f aca="false">IFERROR(CONCATENATE((INDEX($A$7:$A$165,SMALL(IF($Z$7:$Z$165&lt;&gt;"",IF($W$7:$W$165&lt;&gt;"",ROW($W$7:$W$165)-MIN(ROW($W$7:$W$165))+1,""),""),ROW()-ROW(A$167)+1))),),"")</f>
        <v/>
      </c>
    </row>
    <row r="257" customFormat="false" ht="13.8" hidden="false" customHeight="false" outlineLevel="0" collapsed="false">
      <c r="K257" s="0" t="str">
        <f aca="false">IFERROR(CONCATENATE(TEXT(INDEX($K$7:$K$165,SMALL(IF($N$7:$N$165&lt;&gt;"",IF($K$7:$K$165&lt;&gt;"",ROW($K$7:$K$165)-MIN(ROW($K$7:$K$165))+1,""),""),ROW()-ROW(A$167)+1)),"##0"),","),"")</f>
        <v/>
      </c>
      <c r="L257" s="0" t="str">
        <f aca="false">IFERROR(CONCATENATE((INDEX($N$7:$N$165,SMALL(IF($N$7:$N$165&lt;&gt;"",IF($K$7:$K$165&lt;&gt;"",ROW($K$7:$K$165)-MIN(ROW($K$7:$K$165))+1,""),""),ROW()-ROW(A$167)+1))),","),"")</f>
        <v/>
      </c>
      <c r="M257" s="0" t="str">
        <f aca="false">IFERROR(CONCATENATE((INDEX($A$7:$A$165,SMALL(IF($N$7:$N$165&lt;&gt;"",IF($K$7:$K$165&lt;&gt;"",ROW($K$7:$K$165)-MIN(ROW($K$7:$K$165))+1,""),""),ROW()-ROW(A$167)+1))),),"")</f>
        <v/>
      </c>
      <c r="Q257" s="0" t="str">
        <f aca="false">IFERROR(CONCATENATE((INDEX($T$7:$T$165,SMALL(IF($T$7:$T$165&lt;&gt;"",IF($Q$7:$Q$165&lt;&gt;"",ROW($Q$7:$Q$165)-MIN(ROW($Q$7:$Q$165))+1,""),""),ROW()-ROW(A$167)+1)))," "),"")</f>
        <v/>
      </c>
      <c r="R257" s="0" t="str">
        <f aca="false">IFERROR(CONCATENATE(TEXT(INDEX($Q$7:$Q$165,SMALL(IF($T$7:$T$165&lt;&gt;"",IF($Q$7:$Q$165&lt;&gt;"",ROW($Q$7:$Q$165)-MIN(ROW($Q$7:$Q$165))+1,""),""),ROW()-ROW(A$167)+1)),"##0")," "),"")</f>
        <v/>
      </c>
      <c r="S257" s="0" t="str">
        <f aca="false">IFERROR(CONCATENATE((INDEX($A$7:$A$165,SMALL(IF($T$7:$T$165&lt;&gt;"",IF($Q$7:$Q$165&lt;&gt;"",ROW($Q$7:$Q$165)-MIN(ROW($Q$7:$Q$165))+1,""),""),ROW()-ROW(A$167)+1))),),"")</f>
        <v/>
      </c>
      <c r="W257" s="0" t="str">
        <f aca="false">IFERROR(CONCATENATE((INDEX($Z$7:$Z$165,SMALL(IF($Z$7:$Z$165&lt;&gt;"",IF($W$7:$W$165&lt;&gt;"",ROW($W$7:$W$165)-MIN(ROW($W$7:$W$165))+1,""),""),ROW()-ROW(A$167)+1))),","),"")</f>
        <v/>
      </c>
      <c r="X257" s="0" t="str">
        <f aca="false">IFERROR(CONCATENATE(TEXT(INDEX($W$7:$W$165,SMALL(IF($Z$7:$Z$165&lt;&gt;"",IF($W$7:$W$165&lt;&gt;"",ROW($W$7:$W$165)-MIN(ROW($W$7:$W$165))+1,""),""),ROW()-ROW(A$167)+1)),"##0"),","),"")</f>
        <v/>
      </c>
      <c r="Y257" s="0" t="str">
        <f aca="false">IFERROR(CONCATENATE((INDEX($A$7:$A$165,SMALL(IF($Z$7:$Z$165&lt;&gt;"",IF($W$7:$W$165&lt;&gt;"",ROW($W$7:$W$165)-MIN(ROW($W$7:$W$165))+1,""),""),ROW()-ROW(A$167)+1))),),"")</f>
        <v/>
      </c>
    </row>
    <row r="258" customFormat="false" ht="13.8" hidden="false" customHeight="false" outlineLevel="0" collapsed="false">
      <c r="K258" s="0" t="str">
        <f aca="false">IFERROR(CONCATENATE(TEXT(INDEX($K$7:$K$165,SMALL(IF($N$7:$N$165&lt;&gt;"",IF($K$7:$K$165&lt;&gt;"",ROW($K$7:$K$165)-MIN(ROW($K$7:$K$165))+1,""),""),ROW()-ROW(A$167)+1)),"##0"),","),"")</f>
        <v/>
      </c>
      <c r="L258" s="0" t="str">
        <f aca="false">IFERROR(CONCATENATE((INDEX($N$7:$N$165,SMALL(IF($N$7:$N$165&lt;&gt;"",IF($K$7:$K$165&lt;&gt;"",ROW($K$7:$K$165)-MIN(ROW($K$7:$K$165))+1,""),""),ROW()-ROW(A$167)+1))),","),"")</f>
        <v/>
      </c>
      <c r="M258" s="0" t="str">
        <f aca="false">IFERROR(CONCATENATE((INDEX($A$7:$A$165,SMALL(IF($N$7:$N$165&lt;&gt;"",IF($K$7:$K$165&lt;&gt;"",ROW($K$7:$K$165)-MIN(ROW($K$7:$K$165))+1,""),""),ROW()-ROW(A$167)+1))),),"")</f>
        <v/>
      </c>
      <c r="Q258" s="0" t="str">
        <f aca="false">IFERROR(CONCATENATE((INDEX($T$7:$T$165,SMALL(IF($T$7:$T$165&lt;&gt;"",IF($Q$7:$Q$165&lt;&gt;"",ROW($Q$7:$Q$165)-MIN(ROW($Q$7:$Q$165))+1,""),""),ROW()-ROW(A$167)+1)))," "),"")</f>
        <v/>
      </c>
      <c r="R258" s="0" t="str">
        <f aca="false">IFERROR(CONCATENATE(TEXT(INDEX($Q$7:$Q$165,SMALL(IF($T$7:$T$165&lt;&gt;"",IF($Q$7:$Q$165&lt;&gt;"",ROW($Q$7:$Q$165)-MIN(ROW($Q$7:$Q$165))+1,""),""),ROW()-ROW(A$167)+1)),"##0")," "),"")</f>
        <v/>
      </c>
      <c r="S258" s="0" t="str">
        <f aca="false">IFERROR(CONCATENATE((INDEX($A$7:$A$165,SMALL(IF($T$7:$T$165&lt;&gt;"",IF($Q$7:$Q$165&lt;&gt;"",ROW($Q$7:$Q$165)-MIN(ROW($Q$7:$Q$165))+1,""),""),ROW()-ROW(A$167)+1))),),"")</f>
        <v/>
      </c>
      <c r="W258" s="0" t="str">
        <f aca="false">IFERROR(CONCATENATE((INDEX($Z$7:$Z$165,SMALL(IF($Z$7:$Z$165&lt;&gt;"",IF($W$7:$W$165&lt;&gt;"",ROW($W$7:$W$165)-MIN(ROW($W$7:$W$165))+1,""),""),ROW()-ROW(A$167)+1))),","),"")</f>
        <v/>
      </c>
      <c r="X258" s="0" t="str">
        <f aca="false">IFERROR(CONCATENATE(TEXT(INDEX($W$7:$W$165,SMALL(IF($Z$7:$Z$165&lt;&gt;"",IF($W$7:$W$165&lt;&gt;"",ROW($W$7:$W$165)-MIN(ROW($W$7:$W$165))+1,""),""),ROW()-ROW(A$167)+1)),"##0"),","),"")</f>
        <v/>
      </c>
      <c r="Y258" s="0" t="str">
        <f aca="false">IFERROR(CONCATENATE((INDEX($A$7:$A$165,SMALL(IF($Z$7:$Z$165&lt;&gt;"",IF($W$7:$W$165&lt;&gt;"",ROW($W$7:$W$165)-MIN(ROW($W$7:$W$165))+1,""),""),ROW()-ROW(A$167)+1))),),"")</f>
        <v/>
      </c>
    </row>
    <row r="259" customFormat="false" ht="13.8" hidden="false" customHeight="false" outlineLevel="0" collapsed="false">
      <c r="K259" s="0" t="str">
        <f aca="false">IFERROR(CONCATENATE(TEXT(INDEX($K$7:$K$165,SMALL(IF($N$7:$N$165&lt;&gt;"",IF($K$7:$K$165&lt;&gt;"",ROW($K$7:$K$165)-MIN(ROW($K$7:$K$165))+1,""),""),ROW()-ROW(A$167)+1)),"##0"),","),"")</f>
        <v/>
      </c>
      <c r="L259" s="0" t="str">
        <f aca="false">IFERROR(CONCATENATE((INDEX($N$7:$N$165,SMALL(IF($N$7:$N$165&lt;&gt;"",IF($K$7:$K$165&lt;&gt;"",ROW($K$7:$K$165)-MIN(ROW($K$7:$K$165))+1,""),""),ROW()-ROW(A$167)+1))),","),"")</f>
        <v/>
      </c>
      <c r="M259" s="0" t="str">
        <f aca="false">IFERROR(CONCATENATE((INDEX($A$7:$A$165,SMALL(IF($N$7:$N$165&lt;&gt;"",IF($K$7:$K$165&lt;&gt;"",ROW($K$7:$K$165)-MIN(ROW($K$7:$K$165))+1,""),""),ROW()-ROW(A$167)+1))),),"")</f>
        <v/>
      </c>
      <c r="Q259" s="0" t="str">
        <f aca="false">IFERROR(CONCATENATE((INDEX($T$7:$T$165,SMALL(IF($T$7:$T$165&lt;&gt;"",IF($Q$7:$Q$165&lt;&gt;"",ROW($Q$7:$Q$165)-MIN(ROW($Q$7:$Q$165))+1,""),""),ROW()-ROW(A$167)+1)))," "),"")</f>
        <v/>
      </c>
      <c r="R259" s="0" t="str">
        <f aca="false">IFERROR(CONCATENATE(TEXT(INDEX($Q$7:$Q$165,SMALL(IF($T$7:$T$165&lt;&gt;"",IF($Q$7:$Q$165&lt;&gt;"",ROW($Q$7:$Q$165)-MIN(ROW($Q$7:$Q$165))+1,""),""),ROW()-ROW(A$167)+1)),"##0")," "),"")</f>
        <v/>
      </c>
      <c r="S259" s="0" t="str">
        <f aca="false">IFERROR(CONCATENATE((INDEX($A$7:$A$165,SMALL(IF($T$7:$T$165&lt;&gt;"",IF($Q$7:$Q$165&lt;&gt;"",ROW($Q$7:$Q$165)-MIN(ROW($Q$7:$Q$165))+1,""),""),ROW()-ROW(A$167)+1))),),"")</f>
        <v/>
      </c>
      <c r="W259" s="0" t="str">
        <f aca="false">IFERROR(CONCATENATE((INDEX($Z$7:$Z$165,SMALL(IF($Z$7:$Z$165&lt;&gt;"",IF($W$7:$W$165&lt;&gt;"",ROW($W$7:$W$165)-MIN(ROW($W$7:$W$165))+1,""),""),ROW()-ROW(A$167)+1))),","),"")</f>
        <v/>
      </c>
      <c r="X259" s="0" t="str">
        <f aca="false">IFERROR(CONCATENATE(TEXT(INDEX($W$7:$W$165,SMALL(IF($Z$7:$Z$165&lt;&gt;"",IF($W$7:$W$165&lt;&gt;"",ROW($W$7:$W$165)-MIN(ROW($W$7:$W$165))+1,""),""),ROW()-ROW(A$167)+1)),"##0"),","),"")</f>
        <v/>
      </c>
      <c r="Y259" s="0" t="str">
        <f aca="false">IFERROR(CONCATENATE((INDEX($A$7:$A$165,SMALL(IF($Z$7:$Z$165&lt;&gt;"",IF($W$7:$W$165&lt;&gt;"",ROW($W$7:$W$165)-MIN(ROW($W$7:$W$165))+1,""),""),ROW()-ROW(A$167)+1))),),"")</f>
        <v/>
      </c>
    </row>
    <row r="260" customFormat="false" ht="13.8" hidden="false" customHeight="false" outlineLevel="0" collapsed="false">
      <c r="K260" s="0" t="str">
        <f aca="false">IFERROR(CONCATENATE(TEXT(INDEX($K$7:$K$165,SMALL(IF($N$7:$N$165&lt;&gt;"",IF($K$7:$K$165&lt;&gt;"",ROW($K$7:$K$165)-MIN(ROW($K$7:$K$165))+1,""),""),ROW()-ROW(A$167)+1)),"##0"),","),"")</f>
        <v/>
      </c>
      <c r="L260" s="0" t="str">
        <f aca="false">IFERROR(CONCATENATE((INDEX($N$7:$N$165,SMALL(IF($N$7:$N$165&lt;&gt;"",IF($K$7:$K$165&lt;&gt;"",ROW($K$7:$K$165)-MIN(ROW($K$7:$K$165))+1,""),""),ROW()-ROW(A$167)+1))),","),"")</f>
        <v/>
      </c>
      <c r="M260" s="0" t="str">
        <f aca="false">IFERROR(CONCATENATE((INDEX($A$7:$A$165,SMALL(IF($N$7:$N$165&lt;&gt;"",IF($K$7:$K$165&lt;&gt;"",ROW($K$7:$K$165)-MIN(ROW($K$7:$K$165))+1,""),""),ROW()-ROW(A$167)+1))),),"")</f>
        <v/>
      </c>
      <c r="Q260" s="0" t="str">
        <f aca="false">IFERROR(CONCATENATE((INDEX($T$7:$T$165,SMALL(IF($T$7:$T$165&lt;&gt;"",IF($Q$7:$Q$165&lt;&gt;"",ROW($Q$7:$Q$165)-MIN(ROW($Q$7:$Q$165))+1,""),""),ROW()-ROW(A$167)+1)))," "),"")</f>
        <v/>
      </c>
      <c r="R260" s="0" t="str">
        <f aca="false">IFERROR(CONCATENATE(TEXT(INDEX($Q$7:$Q$165,SMALL(IF($T$7:$T$165&lt;&gt;"",IF($Q$7:$Q$165&lt;&gt;"",ROW($Q$7:$Q$165)-MIN(ROW($Q$7:$Q$165))+1,""),""),ROW()-ROW(A$167)+1)),"##0")," "),"")</f>
        <v/>
      </c>
      <c r="S260" s="0" t="str">
        <f aca="false">IFERROR(CONCATENATE((INDEX($A$7:$A$165,SMALL(IF($T$7:$T$165&lt;&gt;"",IF($Q$7:$Q$165&lt;&gt;"",ROW($Q$7:$Q$165)-MIN(ROW($Q$7:$Q$165))+1,""),""),ROW()-ROW(A$167)+1))),),"")</f>
        <v/>
      </c>
      <c r="W260" s="0" t="str">
        <f aca="false">IFERROR(CONCATENATE((INDEX($Z$7:$Z$165,SMALL(IF($Z$7:$Z$165&lt;&gt;"",IF($W$7:$W$165&lt;&gt;"",ROW($W$7:$W$165)-MIN(ROW($W$7:$W$165))+1,""),""),ROW()-ROW(A$167)+1))),","),"")</f>
        <v/>
      </c>
      <c r="X260" s="0" t="str">
        <f aca="false">IFERROR(CONCATENATE(TEXT(INDEX($W$7:$W$165,SMALL(IF($Z$7:$Z$165&lt;&gt;"",IF($W$7:$W$165&lt;&gt;"",ROW($W$7:$W$165)-MIN(ROW($W$7:$W$165))+1,""),""),ROW()-ROW(A$167)+1)),"##0"),","),"")</f>
        <v/>
      </c>
      <c r="Y260" s="0" t="str">
        <f aca="false">IFERROR(CONCATENATE((INDEX($A$7:$A$165,SMALL(IF($Z$7:$Z$165&lt;&gt;"",IF($W$7:$W$165&lt;&gt;"",ROW($W$7:$W$165)-MIN(ROW($W$7:$W$165))+1,""),""),ROW()-ROW(A$167)+1))),),"")</f>
        <v/>
      </c>
    </row>
    <row r="261" customFormat="false" ht="13.8" hidden="false" customHeight="false" outlineLevel="0" collapsed="false">
      <c r="K261" s="0" t="str">
        <f aca="false">IFERROR(CONCATENATE(TEXT(INDEX($K$7:$K$165,SMALL(IF($N$7:$N$165&lt;&gt;"",IF($K$7:$K$165&lt;&gt;"",ROW($K$7:$K$165)-MIN(ROW($K$7:$K$165))+1,""),""),ROW()-ROW(A$167)+1)),"##0"),","),"")</f>
        <v/>
      </c>
      <c r="L261" s="0" t="str">
        <f aca="false">IFERROR(CONCATENATE((INDEX($N$7:$N$165,SMALL(IF($N$7:$N$165&lt;&gt;"",IF($K$7:$K$165&lt;&gt;"",ROW($K$7:$K$165)-MIN(ROW($K$7:$K$165))+1,""),""),ROW()-ROW(A$167)+1))),","),"")</f>
        <v/>
      </c>
      <c r="M261" s="0" t="str">
        <f aca="false">IFERROR(CONCATENATE((INDEX($A$7:$A$165,SMALL(IF($N$7:$N$165&lt;&gt;"",IF($K$7:$K$165&lt;&gt;"",ROW($K$7:$K$165)-MIN(ROW($K$7:$K$165))+1,""),""),ROW()-ROW(A$167)+1))),),"")</f>
        <v/>
      </c>
      <c r="Q261" s="0" t="str">
        <f aca="false">IFERROR(CONCATENATE((INDEX($T$7:$T$165,SMALL(IF($T$7:$T$165&lt;&gt;"",IF($Q$7:$Q$165&lt;&gt;"",ROW($Q$7:$Q$165)-MIN(ROW($Q$7:$Q$165))+1,""),""),ROW()-ROW(A$167)+1)))," "),"")</f>
        <v/>
      </c>
      <c r="R261" s="0" t="str">
        <f aca="false">IFERROR(CONCATENATE(TEXT(INDEX($Q$7:$Q$165,SMALL(IF($T$7:$T$165&lt;&gt;"",IF($Q$7:$Q$165&lt;&gt;"",ROW($Q$7:$Q$165)-MIN(ROW($Q$7:$Q$165))+1,""),""),ROW()-ROW(A$167)+1)),"##0")," "),"")</f>
        <v/>
      </c>
      <c r="S261" s="0" t="str">
        <f aca="false">IFERROR(CONCATENATE((INDEX($A$7:$A$165,SMALL(IF($T$7:$T$165&lt;&gt;"",IF($Q$7:$Q$165&lt;&gt;"",ROW($Q$7:$Q$165)-MIN(ROW($Q$7:$Q$165))+1,""),""),ROW()-ROW(A$167)+1))),),"")</f>
        <v/>
      </c>
      <c r="W261" s="0" t="str">
        <f aca="false">IFERROR(CONCATENATE((INDEX($Z$7:$Z$165,SMALL(IF($Z$7:$Z$165&lt;&gt;"",IF($W$7:$W$165&lt;&gt;"",ROW($W$7:$W$165)-MIN(ROW($W$7:$W$165))+1,""),""),ROW()-ROW(A$167)+1))),","),"")</f>
        <v/>
      </c>
      <c r="X261" s="0" t="str">
        <f aca="false">IFERROR(CONCATENATE(TEXT(INDEX($W$7:$W$165,SMALL(IF($Z$7:$Z$165&lt;&gt;"",IF($W$7:$W$165&lt;&gt;"",ROW($W$7:$W$165)-MIN(ROW($W$7:$W$165))+1,""),""),ROW()-ROW(A$167)+1)),"##0"),","),"")</f>
        <v/>
      </c>
      <c r="Y261" s="0" t="str">
        <f aca="false">IFERROR(CONCATENATE((INDEX($A$7:$A$165,SMALL(IF($Z$7:$Z$165&lt;&gt;"",IF($W$7:$W$165&lt;&gt;"",ROW($W$7:$W$165)-MIN(ROW($W$7:$W$165))+1,""),""),ROW()-ROW(A$167)+1))),),"")</f>
        <v/>
      </c>
    </row>
    <row r="262" customFormat="false" ht="13.8" hidden="false" customHeight="false" outlineLevel="0" collapsed="false">
      <c r="K262" s="0" t="str">
        <f aca="false">IFERROR(CONCATENATE(TEXT(INDEX($K$7:$K$165,SMALL(IF($N$7:$N$165&lt;&gt;"",IF($K$7:$K$165&lt;&gt;"",ROW($K$7:$K$165)-MIN(ROW($K$7:$K$165))+1,""),""),ROW()-ROW(A$167)+1)),"##0"),","),"")</f>
        <v/>
      </c>
      <c r="L262" s="0" t="str">
        <f aca="false">IFERROR(CONCATENATE((INDEX($N$7:$N$165,SMALL(IF($N$7:$N$165&lt;&gt;"",IF($K$7:$K$165&lt;&gt;"",ROW($K$7:$K$165)-MIN(ROW($K$7:$K$165))+1,""),""),ROW()-ROW(A$167)+1))),","),"")</f>
        <v/>
      </c>
      <c r="M262" s="0" t="str">
        <f aca="false">IFERROR(CONCATENATE((INDEX($A$7:$A$165,SMALL(IF($N$7:$N$165&lt;&gt;"",IF($K$7:$K$165&lt;&gt;"",ROW($K$7:$K$165)-MIN(ROW($K$7:$K$165))+1,""),""),ROW()-ROW(A$167)+1))),),"")</f>
        <v/>
      </c>
      <c r="Q262" s="0" t="str">
        <f aca="false">IFERROR(CONCATENATE((INDEX($T$7:$T$165,SMALL(IF($T$7:$T$165&lt;&gt;"",IF($Q$7:$Q$165&lt;&gt;"",ROW($Q$7:$Q$165)-MIN(ROW($Q$7:$Q$165))+1,""),""),ROW()-ROW(A$167)+1)))," "),"")</f>
        <v/>
      </c>
      <c r="R262" s="0" t="str">
        <f aca="false">IFERROR(CONCATENATE(TEXT(INDEX($Q$7:$Q$165,SMALL(IF($T$7:$T$165&lt;&gt;"",IF($Q$7:$Q$165&lt;&gt;"",ROW($Q$7:$Q$165)-MIN(ROW($Q$7:$Q$165))+1,""),""),ROW()-ROW(A$167)+1)),"##0")," "),"")</f>
        <v/>
      </c>
      <c r="S262" s="0" t="str">
        <f aca="false">IFERROR(CONCATENATE((INDEX($A$7:$A$165,SMALL(IF($T$7:$T$165&lt;&gt;"",IF($Q$7:$Q$165&lt;&gt;"",ROW($Q$7:$Q$165)-MIN(ROW($Q$7:$Q$165))+1,""),""),ROW()-ROW(A$167)+1))),),"")</f>
        <v/>
      </c>
      <c r="W262" s="0" t="str">
        <f aca="false">IFERROR(CONCATENATE((INDEX($Z$7:$Z$165,SMALL(IF($Z$7:$Z$165&lt;&gt;"",IF($W$7:$W$165&lt;&gt;"",ROW($W$7:$W$165)-MIN(ROW($W$7:$W$165))+1,""),""),ROW()-ROW(A$167)+1))),","),"")</f>
        <v/>
      </c>
      <c r="X262" s="0" t="str">
        <f aca="false">IFERROR(CONCATENATE(TEXT(INDEX($W$7:$W$165,SMALL(IF($Z$7:$Z$165&lt;&gt;"",IF($W$7:$W$165&lt;&gt;"",ROW($W$7:$W$165)-MIN(ROW($W$7:$W$165))+1,""),""),ROW()-ROW(A$167)+1)),"##0"),","),"")</f>
        <v/>
      </c>
      <c r="Y262" s="0" t="str">
        <f aca="false">IFERROR(CONCATENATE((INDEX($A$7:$A$165,SMALL(IF($Z$7:$Z$165&lt;&gt;"",IF($W$7:$W$165&lt;&gt;"",ROW($W$7:$W$165)-MIN(ROW($W$7:$W$165))+1,""),""),ROW()-ROW(A$167)+1))),),"")</f>
        <v/>
      </c>
    </row>
    <row r="263" customFormat="false" ht="13.8" hidden="false" customHeight="false" outlineLevel="0" collapsed="false">
      <c r="K263" s="0" t="str">
        <f aca="false">IFERROR(CONCATENATE(TEXT(INDEX($K$7:$K$165,SMALL(IF($N$7:$N$165&lt;&gt;"",IF($K$7:$K$165&lt;&gt;"",ROW($K$7:$K$165)-MIN(ROW($K$7:$K$165))+1,""),""),ROW()-ROW(A$167)+1)),"##0"),","),"")</f>
        <v/>
      </c>
      <c r="L263" s="0" t="str">
        <f aca="false">IFERROR(CONCATENATE((INDEX($N$7:$N$165,SMALL(IF($N$7:$N$165&lt;&gt;"",IF($K$7:$K$165&lt;&gt;"",ROW($K$7:$K$165)-MIN(ROW($K$7:$K$165))+1,""),""),ROW()-ROW(A$167)+1))),","),"")</f>
        <v/>
      </c>
      <c r="M263" s="0" t="str">
        <f aca="false">IFERROR(CONCATENATE((INDEX($A$7:$A$165,SMALL(IF($N$7:$N$165&lt;&gt;"",IF($K$7:$K$165&lt;&gt;"",ROW($K$7:$K$165)-MIN(ROW($K$7:$K$165))+1,""),""),ROW()-ROW(A$167)+1))),),"")</f>
        <v/>
      </c>
      <c r="Q263" s="0" t="str">
        <f aca="false">IFERROR(CONCATENATE((INDEX($T$7:$T$165,SMALL(IF($T$7:$T$165&lt;&gt;"",IF($Q$7:$Q$165&lt;&gt;"",ROW($Q$7:$Q$165)-MIN(ROW($Q$7:$Q$165))+1,""),""),ROW()-ROW(A$167)+1)))," "),"")</f>
        <v/>
      </c>
      <c r="R263" s="0" t="str">
        <f aca="false">IFERROR(CONCATENATE(TEXT(INDEX($Q$7:$Q$165,SMALL(IF($T$7:$T$165&lt;&gt;"",IF($Q$7:$Q$165&lt;&gt;"",ROW($Q$7:$Q$165)-MIN(ROW($Q$7:$Q$165))+1,""),""),ROW()-ROW(A$167)+1)),"##0")," "),"")</f>
        <v/>
      </c>
      <c r="S263" s="0" t="str">
        <f aca="false">IFERROR(CONCATENATE((INDEX($A$7:$A$165,SMALL(IF($T$7:$T$165&lt;&gt;"",IF($Q$7:$Q$165&lt;&gt;"",ROW($Q$7:$Q$165)-MIN(ROW($Q$7:$Q$165))+1,""),""),ROW()-ROW(A$167)+1))),),"")</f>
        <v/>
      </c>
      <c r="W263" s="0" t="str">
        <f aca="false">IFERROR(CONCATENATE((INDEX($Z$7:$Z$165,SMALL(IF($Z$7:$Z$165&lt;&gt;"",IF($W$7:$W$165&lt;&gt;"",ROW($W$7:$W$165)-MIN(ROW($W$7:$W$165))+1,""),""),ROW()-ROW(A$167)+1))),","),"")</f>
        <v/>
      </c>
      <c r="X263" s="0" t="str">
        <f aca="false">IFERROR(CONCATENATE(TEXT(INDEX($W$7:$W$165,SMALL(IF($Z$7:$Z$165&lt;&gt;"",IF($W$7:$W$165&lt;&gt;"",ROW($W$7:$W$165)-MIN(ROW($W$7:$W$165))+1,""),""),ROW()-ROW(A$167)+1)),"##0"),","),"")</f>
        <v/>
      </c>
      <c r="Y263" s="0" t="str">
        <f aca="false">IFERROR(CONCATENATE((INDEX($A$7:$A$165,SMALL(IF($Z$7:$Z$165&lt;&gt;"",IF($W$7:$W$165&lt;&gt;"",ROW($W$7:$W$165)-MIN(ROW($W$7:$W$165))+1,""),""),ROW()-ROW(A$167)+1))),),"")</f>
        <v/>
      </c>
    </row>
    <row r="264" customFormat="false" ht="13.8" hidden="false" customHeight="false" outlineLevel="0" collapsed="false">
      <c r="K264" s="0" t="str">
        <f aca="false">IFERROR(CONCATENATE(TEXT(INDEX($K$7:$K$165,SMALL(IF($N$7:$N$165&lt;&gt;"",IF($K$7:$K$165&lt;&gt;"",ROW($K$7:$K$165)-MIN(ROW($K$7:$K$165))+1,""),""),ROW()-ROW(A$167)+1)),"##0"),","),"")</f>
        <v/>
      </c>
      <c r="L264" s="0" t="str">
        <f aca="false">IFERROR(CONCATENATE((INDEX($N$7:$N$165,SMALL(IF($N$7:$N$165&lt;&gt;"",IF($K$7:$K$165&lt;&gt;"",ROW($K$7:$K$165)-MIN(ROW($K$7:$K$165))+1,""),""),ROW()-ROW(A$167)+1))),","),"")</f>
        <v/>
      </c>
      <c r="M264" s="0" t="str">
        <f aca="false">IFERROR(CONCATENATE((INDEX($A$7:$A$165,SMALL(IF($N$7:$N$165&lt;&gt;"",IF($K$7:$K$165&lt;&gt;"",ROW($K$7:$K$165)-MIN(ROW($K$7:$K$165))+1,""),""),ROW()-ROW(A$167)+1))),),"")</f>
        <v/>
      </c>
      <c r="Q264" s="0" t="str">
        <f aca="false">IFERROR(CONCATENATE((INDEX($T$7:$T$165,SMALL(IF($T$7:$T$165&lt;&gt;"",IF($Q$7:$Q$165&lt;&gt;"",ROW($Q$7:$Q$165)-MIN(ROW($Q$7:$Q$165))+1,""),""),ROW()-ROW(A$167)+1)))," "),"")</f>
        <v/>
      </c>
      <c r="R264" s="0" t="str">
        <f aca="false">IFERROR(CONCATENATE(TEXT(INDEX($Q$7:$Q$165,SMALL(IF($T$7:$T$165&lt;&gt;"",IF($Q$7:$Q$165&lt;&gt;"",ROW($Q$7:$Q$165)-MIN(ROW($Q$7:$Q$165))+1,""),""),ROW()-ROW(A$167)+1)),"##0")," "),"")</f>
        <v/>
      </c>
      <c r="S264" s="0" t="str">
        <f aca="false">IFERROR(CONCATENATE((INDEX($A$7:$A$165,SMALL(IF($T$7:$T$165&lt;&gt;"",IF($Q$7:$Q$165&lt;&gt;"",ROW($Q$7:$Q$165)-MIN(ROW($Q$7:$Q$165))+1,""),""),ROW()-ROW(A$167)+1))),),"")</f>
        <v/>
      </c>
      <c r="W264" s="0" t="str">
        <f aca="false">IFERROR(CONCATENATE((INDEX($Z$7:$Z$165,SMALL(IF($Z$7:$Z$165&lt;&gt;"",IF($W$7:$W$165&lt;&gt;"",ROW($W$7:$W$165)-MIN(ROW($W$7:$W$165))+1,""),""),ROW()-ROW(A$167)+1))),","),"")</f>
        <v/>
      </c>
      <c r="X264" s="0" t="str">
        <f aca="false">IFERROR(CONCATENATE(TEXT(INDEX($W$7:$W$165,SMALL(IF($Z$7:$Z$165&lt;&gt;"",IF($W$7:$W$165&lt;&gt;"",ROW($W$7:$W$165)-MIN(ROW($W$7:$W$165))+1,""),""),ROW()-ROW(A$167)+1)),"##0"),","),"")</f>
        <v/>
      </c>
      <c r="Y264" s="0" t="str">
        <f aca="false">IFERROR(CONCATENATE((INDEX($A$7:$A$165,SMALL(IF($Z$7:$Z$165&lt;&gt;"",IF($W$7:$W$165&lt;&gt;"",ROW($W$7:$W$165)-MIN(ROW($W$7:$W$165))+1,""),""),ROW()-ROW(A$167)+1))),),"")</f>
        <v/>
      </c>
    </row>
    <row r="265" customFormat="false" ht="13.8" hidden="false" customHeight="false" outlineLevel="0" collapsed="false">
      <c r="K265" s="0" t="str">
        <f aca="false">IFERROR(CONCATENATE(TEXT(INDEX($K$7:$K$165,SMALL(IF($N$7:$N$165&lt;&gt;"",IF($K$7:$K$165&lt;&gt;"",ROW($K$7:$K$165)-MIN(ROW($K$7:$K$165))+1,""),""),ROW()-ROW(A$167)+1)),"##0"),","),"")</f>
        <v/>
      </c>
      <c r="L265" s="0" t="str">
        <f aca="false">IFERROR(CONCATENATE((INDEX($N$7:$N$165,SMALL(IF($N$7:$N$165&lt;&gt;"",IF($K$7:$K$165&lt;&gt;"",ROW($K$7:$K$165)-MIN(ROW($K$7:$K$165))+1,""),""),ROW()-ROW(A$167)+1))),","),"")</f>
        <v/>
      </c>
      <c r="M265" s="0" t="str">
        <f aca="false">IFERROR(CONCATENATE((INDEX($A$7:$A$165,SMALL(IF($N$7:$N$165&lt;&gt;"",IF($K$7:$K$165&lt;&gt;"",ROW($K$7:$K$165)-MIN(ROW($K$7:$K$165))+1,""),""),ROW()-ROW(A$167)+1))),),"")</f>
        <v/>
      </c>
      <c r="Q265" s="0" t="str">
        <f aca="false">IFERROR(CONCATENATE((INDEX($T$7:$T$165,SMALL(IF($T$7:$T$165&lt;&gt;"",IF($Q$7:$Q$165&lt;&gt;"",ROW($Q$7:$Q$165)-MIN(ROW($Q$7:$Q$165))+1,""),""),ROW()-ROW(A$167)+1)))," "),"")</f>
        <v/>
      </c>
      <c r="R265" s="0" t="str">
        <f aca="false">IFERROR(CONCATENATE(TEXT(INDEX($Q$7:$Q$165,SMALL(IF($T$7:$T$165&lt;&gt;"",IF($Q$7:$Q$165&lt;&gt;"",ROW($Q$7:$Q$165)-MIN(ROW($Q$7:$Q$165))+1,""),""),ROW()-ROW(A$167)+1)),"##0")," "),"")</f>
        <v/>
      </c>
      <c r="S265" s="0" t="str">
        <f aca="false">IFERROR(CONCATENATE((INDEX($A$7:$A$165,SMALL(IF($T$7:$T$165&lt;&gt;"",IF($Q$7:$Q$165&lt;&gt;"",ROW($Q$7:$Q$165)-MIN(ROW($Q$7:$Q$165))+1,""),""),ROW()-ROW(A$167)+1))),),"")</f>
        <v/>
      </c>
      <c r="W265" s="0" t="str">
        <f aca="false">IFERROR(CONCATENATE((INDEX($Z$7:$Z$165,SMALL(IF($Z$7:$Z$165&lt;&gt;"",IF($W$7:$W$165&lt;&gt;"",ROW($W$7:$W$165)-MIN(ROW($W$7:$W$165))+1,""),""),ROW()-ROW(A$167)+1))),","),"")</f>
        <v/>
      </c>
      <c r="X265" s="0" t="str">
        <f aca="false">IFERROR(CONCATENATE(TEXT(INDEX($W$7:$W$165,SMALL(IF($Z$7:$Z$165&lt;&gt;"",IF($W$7:$W$165&lt;&gt;"",ROW($W$7:$W$165)-MIN(ROW($W$7:$W$165))+1,""),""),ROW()-ROW(A$167)+1)),"##0"),","),"")</f>
        <v/>
      </c>
      <c r="Y265" s="0" t="str">
        <f aca="false">IFERROR(CONCATENATE((INDEX($A$7:$A$165,SMALL(IF($Z$7:$Z$165&lt;&gt;"",IF($W$7:$W$165&lt;&gt;"",ROW($W$7:$W$165)-MIN(ROW($W$7:$W$165))+1,""),""),ROW()-ROW(A$167)+1))),),"")</f>
        <v/>
      </c>
    </row>
    <row r="266" customFormat="false" ht="13.8" hidden="false" customHeight="false" outlineLevel="0" collapsed="false">
      <c r="K266" s="0" t="str">
        <f aca="false">IFERROR(CONCATENATE(TEXT(INDEX($K$7:$K$165,SMALL(IF($N$7:$N$165&lt;&gt;"",IF($K$7:$K$165&lt;&gt;"",ROW($K$7:$K$165)-MIN(ROW($K$7:$K$165))+1,""),""),ROW()-ROW(A$167)+1)),"##0"),","),"")</f>
        <v/>
      </c>
      <c r="L266" s="0" t="str">
        <f aca="false">IFERROR(CONCATENATE((INDEX($N$7:$N$165,SMALL(IF($N$7:$N$165&lt;&gt;"",IF($K$7:$K$165&lt;&gt;"",ROW($K$7:$K$165)-MIN(ROW($K$7:$K$165))+1,""),""),ROW()-ROW(A$167)+1))),","),"")</f>
        <v/>
      </c>
      <c r="M266" s="0" t="str">
        <f aca="false">IFERROR(CONCATENATE((INDEX($A$7:$A$165,SMALL(IF($N$7:$N$165&lt;&gt;"",IF($K$7:$K$165&lt;&gt;"",ROW($K$7:$K$165)-MIN(ROW($K$7:$K$165))+1,""),""),ROW()-ROW(A$167)+1))),),"")</f>
        <v/>
      </c>
      <c r="Q266" s="0" t="str">
        <f aca="false">IFERROR(CONCATENATE((INDEX($T$7:$T$165,SMALL(IF($T$7:$T$165&lt;&gt;"",IF($Q$7:$Q$165&lt;&gt;"",ROW($Q$7:$Q$165)-MIN(ROW($Q$7:$Q$165))+1,""),""),ROW()-ROW(A$167)+1)))," "),"")</f>
        <v/>
      </c>
      <c r="R266" s="0" t="str">
        <f aca="false">IFERROR(CONCATENATE(TEXT(INDEX($Q$7:$Q$165,SMALL(IF($T$7:$T$165&lt;&gt;"",IF($Q$7:$Q$165&lt;&gt;"",ROW($Q$7:$Q$165)-MIN(ROW($Q$7:$Q$165))+1,""),""),ROW()-ROW(A$167)+1)),"##0")," "),"")</f>
        <v/>
      </c>
      <c r="S266" s="0" t="str">
        <f aca="false">IFERROR(CONCATENATE((INDEX($A$7:$A$165,SMALL(IF($T$7:$T$165&lt;&gt;"",IF($Q$7:$Q$165&lt;&gt;"",ROW($Q$7:$Q$165)-MIN(ROW($Q$7:$Q$165))+1,""),""),ROW()-ROW(A$167)+1))),),"")</f>
        <v/>
      </c>
      <c r="W266" s="0" t="str">
        <f aca="false">IFERROR(CONCATENATE((INDEX($Z$7:$Z$165,SMALL(IF($Z$7:$Z$165&lt;&gt;"",IF($W$7:$W$165&lt;&gt;"",ROW($W$7:$W$165)-MIN(ROW($W$7:$W$165))+1,""),""),ROW()-ROW(A$167)+1))),","),"")</f>
        <v/>
      </c>
      <c r="X266" s="0" t="str">
        <f aca="false">IFERROR(CONCATENATE(TEXT(INDEX($W$7:$W$165,SMALL(IF($Z$7:$Z$165&lt;&gt;"",IF($W$7:$W$165&lt;&gt;"",ROW($W$7:$W$165)-MIN(ROW($W$7:$W$165))+1,""),""),ROW()-ROW(A$167)+1)),"##0"),","),"")</f>
        <v/>
      </c>
      <c r="Y266" s="0" t="str">
        <f aca="false">IFERROR(CONCATENATE((INDEX($A$7:$A$165,SMALL(IF($Z$7:$Z$165&lt;&gt;"",IF($W$7:$W$165&lt;&gt;"",ROW($W$7:$W$165)-MIN(ROW($W$7:$W$165))+1,""),""),ROW()-ROW(A$167)+1))),),"")</f>
        <v/>
      </c>
    </row>
    <row r="267" customFormat="false" ht="13.8" hidden="false" customHeight="false" outlineLevel="0" collapsed="false">
      <c r="K267" s="0" t="str">
        <f aca="false">IFERROR(CONCATENATE(TEXT(INDEX($K$7:$K$165,SMALL(IF($N$7:$N$165&lt;&gt;"",IF($K$7:$K$165&lt;&gt;"",ROW($K$7:$K$165)-MIN(ROW($K$7:$K$165))+1,""),""),ROW()-ROW(A$167)+1)),"##0"),","),"")</f>
        <v/>
      </c>
      <c r="L267" s="0" t="str">
        <f aca="false">IFERROR(CONCATENATE((INDEX($N$7:$N$165,SMALL(IF($N$7:$N$165&lt;&gt;"",IF($K$7:$K$165&lt;&gt;"",ROW($K$7:$K$165)-MIN(ROW($K$7:$K$165))+1,""),""),ROW()-ROW(A$167)+1))),","),"")</f>
        <v/>
      </c>
      <c r="M267" s="0" t="str">
        <f aca="false">IFERROR(CONCATENATE((INDEX($A$7:$A$165,SMALL(IF($N$7:$N$165&lt;&gt;"",IF($K$7:$K$165&lt;&gt;"",ROW($K$7:$K$165)-MIN(ROW($K$7:$K$165))+1,""),""),ROW()-ROW(A$167)+1))),),"")</f>
        <v/>
      </c>
      <c r="Q267" s="0" t="str">
        <f aca="false">IFERROR(CONCATENATE((INDEX($T$7:$T$165,SMALL(IF($T$7:$T$165&lt;&gt;"",IF($Q$7:$Q$165&lt;&gt;"",ROW($Q$7:$Q$165)-MIN(ROW($Q$7:$Q$165))+1,""),""),ROW()-ROW(A$167)+1)))," "),"")</f>
        <v/>
      </c>
      <c r="R267" s="0" t="str">
        <f aca="false">IFERROR(CONCATENATE(TEXT(INDEX($Q$7:$Q$165,SMALL(IF($T$7:$T$165&lt;&gt;"",IF($Q$7:$Q$165&lt;&gt;"",ROW($Q$7:$Q$165)-MIN(ROW($Q$7:$Q$165))+1,""),""),ROW()-ROW(A$167)+1)),"##0")," "),"")</f>
        <v/>
      </c>
      <c r="S267" s="0" t="str">
        <f aca="false">IFERROR(CONCATENATE((INDEX($A$7:$A$165,SMALL(IF($T$7:$T$165&lt;&gt;"",IF($Q$7:$Q$165&lt;&gt;"",ROW($Q$7:$Q$165)-MIN(ROW($Q$7:$Q$165))+1,""),""),ROW()-ROW(A$167)+1))),),"")</f>
        <v/>
      </c>
      <c r="W267" s="0" t="str">
        <f aca="false">IFERROR(CONCATENATE((INDEX($Z$7:$Z$165,SMALL(IF($Z$7:$Z$165&lt;&gt;"",IF($W$7:$W$165&lt;&gt;"",ROW($W$7:$W$165)-MIN(ROW($W$7:$W$165))+1,""),""),ROW()-ROW(A$167)+1))),","),"")</f>
        <v/>
      </c>
      <c r="X267" s="0" t="str">
        <f aca="false">IFERROR(CONCATENATE(TEXT(INDEX($W$7:$W$165,SMALL(IF($Z$7:$Z$165&lt;&gt;"",IF($W$7:$W$165&lt;&gt;"",ROW($W$7:$W$165)-MIN(ROW($W$7:$W$165))+1,""),""),ROW()-ROW(A$167)+1)),"##0"),","),"")</f>
        <v/>
      </c>
      <c r="Y267" s="0" t="str">
        <f aca="false">IFERROR(CONCATENATE((INDEX($A$7:$A$165,SMALL(IF($Z$7:$Z$165&lt;&gt;"",IF($W$7:$W$165&lt;&gt;"",ROW($W$7:$W$165)-MIN(ROW($W$7:$W$165))+1,""),""),ROW()-ROW(A$167)+1))),),"")</f>
        <v/>
      </c>
    </row>
    <row r="268" customFormat="false" ht="13.8" hidden="false" customHeight="false" outlineLevel="0" collapsed="false">
      <c r="K268" s="0" t="str">
        <f aca="false">IFERROR(CONCATENATE(TEXT(INDEX($K$7:$K$165,SMALL(IF($N$7:$N$165&lt;&gt;"",IF($K$7:$K$165&lt;&gt;"",ROW($K$7:$K$165)-MIN(ROW($K$7:$K$165))+1,""),""),ROW()-ROW(A$167)+1)),"##0"),","),"")</f>
        <v/>
      </c>
      <c r="L268" s="0" t="str">
        <f aca="false">IFERROR(CONCATENATE((INDEX($N$7:$N$165,SMALL(IF($N$7:$N$165&lt;&gt;"",IF($K$7:$K$165&lt;&gt;"",ROW($K$7:$K$165)-MIN(ROW($K$7:$K$165))+1,""),""),ROW()-ROW(A$167)+1))),","),"")</f>
        <v/>
      </c>
      <c r="M268" s="0" t="str">
        <f aca="false">IFERROR(CONCATENATE((INDEX($A$7:$A$165,SMALL(IF($N$7:$N$165&lt;&gt;"",IF($K$7:$K$165&lt;&gt;"",ROW($K$7:$K$165)-MIN(ROW($K$7:$K$165))+1,""),""),ROW()-ROW(A$167)+1))),),"")</f>
        <v/>
      </c>
      <c r="Q268" s="0" t="str">
        <f aca="false">IFERROR(CONCATENATE((INDEX($T$7:$T$165,SMALL(IF($T$7:$T$165&lt;&gt;"",IF($Q$7:$Q$165&lt;&gt;"",ROW($Q$7:$Q$165)-MIN(ROW($Q$7:$Q$165))+1,""),""),ROW()-ROW(A$167)+1)))," "),"")</f>
        <v/>
      </c>
      <c r="R268" s="0" t="str">
        <f aca="false">IFERROR(CONCATENATE(TEXT(INDEX($Q$7:$Q$165,SMALL(IF($T$7:$T$165&lt;&gt;"",IF($Q$7:$Q$165&lt;&gt;"",ROW($Q$7:$Q$165)-MIN(ROW($Q$7:$Q$165))+1,""),""),ROW()-ROW(A$167)+1)),"##0")," "),"")</f>
        <v/>
      </c>
      <c r="S268" s="0" t="str">
        <f aca="false">IFERROR(CONCATENATE((INDEX($A$7:$A$165,SMALL(IF($T$7:$T$165&lt;&gt;"",IF($Q$7:$Q$165&lt;&gt;"",ROW($Q$7:$Q$165)-MIN(ROW($Q$7:$Q$165))+1,""),""),ROW()-ROW(A$167)+1))),),"")</f>
        <v/>
      </c>
      <c r="W268" s="0" t="str">
        <f aca="false">IFERROR(CONCATENATE((INDEX($Z$7:$Z$165,SMALL(IF($Z$7:$Z$165&lt;&gt;"",IF($W$7:$W$165&lt;&gt;"",ROW($W$7:$W$165)-MIN(ROW($W$7:$W$165))+1,""),""),ROW()-ROW(A$167)+1))),","),"")</f>
        <v/>
      </c>
      <c r="X268" s="0" t="str">
        <f aca="false">IFERROR(CONCATENATE(TEXT(INDEX($W$7:$W$165,SMALL(IF($Z$7:$Z$165&lt;&gt;"",IF($W$7:$W$165&lt;&gt;"",ROW($W$7:$W$165)-MIN(ROW($W$7:$W$165))+1,""),""),ROW()-ROW(A$167)+1)),"##0"),","),"")</f>
        <v/>
      </c>
      <c r="Y268" s="0" t="str">
        <f aca="false">IFERROR(CONCATENATE((INDEX($A$7:$A$165,SMALL(IF($Z$7:$Z$165&lt;&gt;"",IF($W$7:$W$165&lt;&gt;"",ROW($W$7:$W$165)-MIN(ROW($W$7:$W$165))+1,""),""),ROW()-ROW(A$167)+1))),),"")</f>
        <v/>
      </c>
    </row>
    <row r="269" customFormat="false" ht="13.8" hidden="false" customHeight="false" outlineLevel="0" collapsed="false">
      <c r="K269" s="0" t="str">
        <f aca="false">IFERROR(CONCATENATE(TEXT(INDEX($K$7:$K$165,SMALL(IF($N$7:$N$165&lt;&gt;"",IF($K$7:$K$165&lt;&gt;"",ROW($K$7:$K$165)-MIN(ROW($K$7:$K$165))+1,""),""),ROW()-ROW(A$167)+1)),"##0"),","),"")</f>
        <v/>
      </c>
      <c r="L269" s="0" t="str">
        <f aca="false">IFERROR(CONCATENATE((INDEX($N$7:$N$165,SMALL(IF($N$7:$N$165&lt;&gt;"",IF($K$7:$K$165&lt;&gt;"",ROW($K$7:$K$165)-MIN(ROW($K$7:$K$165))+1,""),""),ROW()-ROW(A$167)+1))),","),"")</f>
        <v/>
      </c>
      <c r="M269" s="0" t="str">
        <f aca="false">IFERROR(CONCATENATE((INDEX($A$7:$A$165,SMALL(IF($N$7:$N$165&lt;&gt;"",IF($K$7:$K$165&lt;&gt;"",ROW($K$7:$K$165)-MIN(ROW($K$7:$K$165))+1,""),""),ROW()-ROW(A$167)+1))),),"")</f>
        <v/>
      </c>
      <c r="Q269" s="0" t="str">
        <f aca="false">IFERROR(CONCATENATE((INDEX($T$7:$T$165,SMALL(IF($T$7:$T$165&lt;&gt;"",IF($Q$7:$Q$165&lt;&gt;"",ROW($Q$7:$Q$165)-MIN(ROW($Q$7:$Q$165))+1,""),""),ROW()-ROW(A$167)+1)))," "),"")</f>
        <v/>
      </c>
      <c r="R269" s="0" t="str">
        <f aca="false">IFERROR(CONCATENATE(TEXT(INDEX($Q$7:$Q$165,SMALL(IF($T$7:$T$165&lt;&gt;"",IF($Q$7:$Q$165&lt;&gt;"",ROW($Q$7:$Q$165)-MIN(ROW($Q$7:$Q$165))+1,""),""),ROW()-ROW(A$167)+1)),"##0")," "),"")</f>
        <v/>
      </c>
      <c r="S269" s="0" t="str">
        <f aca="false">IFERROR(CONCATENATE((INDEX($A$7:$A$165,SMALL(IF($T$7:$T$165&lt;&gt;"",IF($Q$7:$Q$165&lt;&gt;"",ROW($Q$7:$Q$165)-MIN(ROW($Q$7:$Q$165))+1,""),""),ROW()-ROW(A$167)+1))),),"")</f>
        <v/>
      </c>
      <c r="W269" s="0" t="str">
        <f aca="false">IFERROR(CONCATENATE((INDEX($Z$7:$Z$165,SMALL(IF($Z$7:$Z$165&lt;&gt;"",IF($W$7:$W$165&lt;&gt;"",ROW($W$7:$W$165)-MIN(ROW($W$7:$W$165))+1,""),""),ROW()-ROW(A$167)+1))),","),"")</f>
        <v/>
      </c>
      <c r="X269" s="0" t="str">
        <f aca="false">IFERROR(CONCATENATE(TEXT(INDEX($W$7:$W$165,SMALL(IF($Z$7:$Z$165&lt;&gt;"",IF($W$7:$W$165&lt;&gt;"",ROW($W$7:$W$165)-MIN(ROW($W$7:$W$165))+1,""),""),ROW()-ROW(A$167)+1)),"##0"),","),"")</f>
        <v/>
      </c>
      <c r="Y269" s="0" t="str">
        <f aca="false">IFERROR(CONCATENATE((INDEX($A$7:$A$165,SMALL(IF($Z$7:$Z$165&lt;&gt;"",IF($W$7:$W$165&lt;&gt;"",ROW($W$7:$W$165)-MIN(ROW($W$7:$W$165))+1,""),""),ROW()-ROW(A$167)+1))),),"")</f>
        <v/>
      </c>
    </row>
    <row r="270" customFormat="false" ht="13.8" hidden="false" customHeight="false" outlineLevel="0" collapsed="false">
      <c r="K270" s="0" t="str">
        <f aca="false">IFERROR(CONCATENATE(TEXT(INDEX($K$7:$K$165,SMALL(IF($N$7:$N$165&lt;&gt;"",IF($K$7:$K$165&lt;&gt;"",ROW($K$7:$K$165)-MIN(ROW($K$7:$K$165))+1,""),""),ROW()-ROW(A$167)+1)),"##0"),","),"")</f>
        <v/>
      </c>
      <c r="L270" s="0" t="str">
        <f aca="false">IFERROR(CONCATENATE((INDEX($N$7:$N$165,SMALL(IF($N$7:$N$165&lt;&gt;"",IF($K$7:$K$165&lt;&gt;"",ROW($K$7:$K$165)-MIN(ROW($K$7:$K$165))+1,""),""),ROW()-ROW(A$167)+1))),","),"")</f>
        <v/>
      </c>
      <c r="M270" s="0" t="str">
        <f aca="false">IFERROR(CONCATENATE((INDEX($A$7:$A$165,SMALL(IF($N$7:$N$165&lt;&gt;"",IF($K$7:$K$165&lt;&gt;"",ROW($K$7:$K$165)-MIN(ROW($K$7:$K$165))+1,""),""),ROW()-ROW(A$167)+1))),),"")</f>
        <v/>
      </c>
      <c r="Q270" s="0" t="str">
        <f aca="false">IFERROR(CONCATENATE((INDEX($T$7:$T$165,SMALL(IF($T$7:$T$165&lt;&gt;"",IF($Q$7:$Q$165&lt;&gt;"",ROW($Q$7:$Q$165)-MIN(ROW($Q$7:$Q$165))+1,""),""),ROW()-ROW(A$167)+1)))," "),"")</f>
        <v/>
      </c>
      <c r="R270" s="0" t="str">
        <f aca="false">IFERROR(CONCATENATE(TEXT(INDEX($Q$7:$Q$165,SMALL(IF($T$7:$T$165&lt;&gt;"",IF($Q$7:$Q$165&lt;&gt;"",ROW($Q$7:$Q$165)-MIN(ROW($Q$7:$Q$165))+1,""),""),ROW()-ROW(A$167)+1)),"##0")," "),"")</f>
        <v/>
      </c>
      <c r="S270" s="0" t="str">
        <f aca="false">IFERROR(CONCATENATE((INDEX($A$7:$A$165,SMALL(IF($T$7:$T$165&lt;&gt;"",IF($Q$7:$Q$165&lt;&gt;"",ROW($Q$7:$Q$165)-MIN(ROW($Q$7:$Q$165))+1,""),""),ROW()-ROW(A$167)+1))),),"")</f>
        <v/>
      </c>
      <c r="W270" s="0" t="str">
        <f aca="false">IFERROR(CONCATENATE((INDEX($Z$7:$Z$165,SMALL(IF($Z$7:$Z$165&lt;&gt;"",IF($W$7:$W$165&lt;&gt;"",ROW($W$7:$W$165)-MIN(ROW($W$7:$W$165))+1,""),""),ROW()-ROW(A$167)+1))),","),"")</f>
        <v/>
      </c>
      <c r="X270" s="0" t="str">
        <f aca="false">IFERROR(CONCATENATE(TEXT(INDEX($W$7:$W$165,SMALL(IF($Z$7:$Z$165&lt;&gt;"",IF($W$7:$W$165&lt;&gt;"",ROW($W$7:$W$165)-MIN(ROW($W$7:$W$165))+1,""),""),ROW()-ROW(A$167)+1)),"##0"),","),"")</f>
        <v/>
      </c>
      <c r="Y270" s="0" t="str">
        <f aca="false">IFERROR(CONCATENATE((INDEX($A$7:$A$165,SMALL(IF($Z$7:$Z$165&lt;&gt;"",IF($W$7:$W$165&lt;&gt;"",ROW($W$7:$W$165)-MIN(ROW($W$7:$W$165))+1,""),""),ROW()-ROW(A$167)+1))),),"")</f>
        <v/>
      </c>
    </row>
    <row r="271" customFormat="false" ht="13.8" hidden="false" customHeight="false" outlineLevel="0" collapsed="false">
      <c r="K271" s="0" t="str">
        <f aca="false">IFERROR(CONCATENATE(TEXT(INDEX($K$7:$K$165,SMALL(IF($N$7:$N$165&lt;&gt;"",IF($K$7:$K$165&lt;&gt;"",ROW($K$7:$K$165)-MIN(ROW($K$7:$K$165))+1,""),""),ROW()-ROW(A$167)+1)),"##0"),","),"")</f>
        <v/>
      </c>
      <c r="L271" s="0" t="str">
        <f aca="false">IFERROR(CONCATENATE((INDEX($N$7:$N$165,SMALL(IF($N$7:$N$165&lt;&gt;"",IF($K$7:$K$165&lt;&gt;"",ROW($K$7:$K$165)-MIN(ROW($K$7:$K$165))+1,""),""),ROW()-ROW(A$167)+1))),","),"")</f>
        <v/>
      </c>
      <c r="M271" s="0" t="str">
        <f aca="false">IFERROR(CONCATENATE((INDEX($A$7:$A$165,SMALL(IF($N$7:$N$165&lt;&gt;"",IF($K$7:$K$165&lt;&gt;"",ROW($K$7:$K$165)-MIN(ROW($K$7:$K$165))+1,""),""),ROW()-ROW(A$167)+1))),),"")</f>
        <v/>
      </c>
      <c r="Q271" s="0" t="str">
        <f aca="false">IFERROR(CONCATENATE((INDEX($T$7:$T$165,SMALL(IF($T$7:$T$165&lt;&gt;"",IF($Q$7:$Q$165&lt;&gt;"",ROW($Q$7:$Q$165)-MIN(ROW($Q$7:$Q$165))+1,""),""),ROW()-ROW(A$167)+1)))," "),"")</f>
        <v/>
      </c>
      <c r="R271" s="0" t="str">
        <f aca="false">IFERROR(CONCATENATE(TEXT(INDEX($Q$7:$Q$165,SMALL(IF($T$7:$T$165&lt;&gt;"",IF($Q$7:$Q$165&lt;&gt;"",ROW($Q$7:$Q$165)-MIN(ROW($Q$7:$Q$165))+1,""),""),ROW()-ROW(A$167)+1)),"##0")," "),"")</f>
        <v/>
      </c>
      <c r="S271" s="0" t="str">
        <f aca="false">IFERROR(CONCATENATE((INDEX($A$7:$A$165,SMALL(IF($T$7:$T$165&lt;&gt;"",IF($Q$7:$Q$165&lt;&gt;"",ROW($Q$7:$Q$165)-MIN(ROW($Q$7:$Q$165))+1,""),""),ROW()-ROW(A$167)+1))),),"")</f>
        <v/>
      </c>
      <c r="W271" s="0" t="str">
        <f aca="false">IFERROR(CONCATENATE((INDEX($Z$7:$Z$165,SMALL(IF($Z$7:$Z$165&lt;&gt;"",IF($W$7:$W$165&lt;&gt;"",ROW($W$7:$W$165)-MIN(ROW($W$7:$W$165))+1,""),""),ROW()-ROW(A$167)+1))),","),"")</f>
        <v/>
      </c>
      <c r="X271" s="0" t="str">
        <f aca="false">IFERROR(CONCATENATE(TEXT(INDEX($W$7:$W$165,SMALL(IF($Z$7:$Z$165&lt;&gt;"",IF($W$7:$W$165&lt;&gt;"",ROW($W$7:$W$165)-MIN(ROW($W$7:$W$165))+1,""),""),ROW()-ROW(A$167)+1)),"##0"),","),"")</f>
        <v/>
      </c>
      <c r="Y271" s="0" t="str">
        <f aca="false">IFERROR(CONCATENATE((INDEX($A$7:$A$165,SMALL(IF($Z$7:$Z$165&lt;&gt;"",IF($W$7:$W$165&lt;&gt;"",ROW($W$7:$W$165)-MIN(ROW($W$7:$W$165))+1,""),""),ROW()-ROW(A$167)+1))),),"")</f>
        <v/>
      </c>
    </row>
    <row r="272" customFormat="false" ht="13.8" hidden="false" customHeight="false" outlineLevel="0" collapsed="false">
      <c r="K272" s="0" t="str">
        <f aca="false">IFERROR(CONCATENATE(TEXT(INDEX($K$7:$K$165,SMALL(IF($N$7:$N$165&lt;&gt;"",IF($K$7:$K$165&lt;&gt;"",ROW($K$7:$K$165)-MIN(ROW($K$7:$K$165))+1,""),""),ROW()-ROW(A$167)+1)),"##0"),","),"")</f>
        <v/>
      </c>
      <c r="L272" s="0" t="str">
        <f aca="false">IFERROR(CONCATENATE((INDEX($N$7:$N$165,SMALL(IF($N$7:$N$165&lt;&gt;"",IF($K$7:$K$165&lt;&gt;"",ROW($K$7:$K$165)-MIN(ROW($K$7:$K$165))+1,""),""),ROW()-ROW(A$167)+1))),","),"")</f>
        <v/>
      </c>
      <c r="M272" s="0" t="str">
        <f aca="false">IFERROR(CONCATENATE((INDEX($A$7:$A$165,SMALL(IF($N$7:$N$165&lt;&gt;"",IF($K$7:$K$165&lt;&gt;"",ROW($K$7:$K$165)-MIN(ROW($K$7:$K$165))+1,""),""),ROW()-ROW(A$167)+1))),),"")</f>
        <v/>
      </c>
      <c r="Q272" s="0" t="str">
        <f aca="false">IFERROR(CONCATENATE((INDEX($T$7:$T$165,SMALL(IF($T$7:$T$165&lt;&gt;"",IF($Q$7:$Q$165&lt;&gt;"",ROW($Q$7:$Q$165)-MIN(ROW($Q$7:$Q$165))+1,""),""),ROW()-ROW(A$167)+1)))," "),"")</f>
        <v/>
      </c>
      <c r="R272" s="0" t="str">
        <f aca="false">IFERROR(CONCATENATE(TEXT(INDEX($Q$7:$Q$165,SMALL(IF($T$7:$T$165&lt;&gt;"",IF($Q$7:$Q$165&lt;&gt;"",ROW($Q$7:$Q$165)-MIN(ROW($Q$7:$Q$165))+1,""),""),ROW()-ROW(A$167)+1)),"##0")," "),"")</f>
        <v/>
      </c>
      <c r="S272" s="0" t="str">
        <f aca="false">IFERROR(CONCATENATE((INDEX($A$7:$A$165,SMALL(IF($T$7:$T$165&lt;&gt;"",IF($Q$7:$Q$165&lt;&gt;"",ROW($Q$7:$Q$165)-MIN(ROW($Q$7:$Q$165))+1,""),""),ROW()-ROW(A$167)+1))),),"")</f>
        <v/>
      </c>
      <c r="W272" s="0" t="str">
        <f aca="false">IFERROR(CONCATENATE((INDEX($Z$7:$Z$165,SMALL(IF($Z$7:$Z$165&lt;&gt;"",IF($W$7:$W$165&lt;&gt;"",ROW($W$7:$W$165)-MIN(ROW($W$7:$W$165))+1,""),""),ROW()-ROW(A$167)+1))),","),"")</f>
        <v/>
      </c>
      <c r="X272" s="0" t="str">
        <f aca="false">IFERROR(CONCATENATE(TEXT(INDEX($W$7:$W$165,SMALL(IF($Z$7:$Z$165&lt;&gt;"",IF($W$7:$W$165&lt;&gt;"",ROW($W$7:$W$165)-MIN(ROW($W$7:$W$165))+1,""),""),ROW()-ROW(A$167)+1)),"##0"),","),"")</f>
        <v/>
      </c>
      <c r="Y272" s="0" t="str">
        <f aca="false">IFERROR(CONCATENATE((INDEX($A$7:$A$165,SMALL(IF($Z$7:$Z$165&lt;&gt;"",IF($W$7:$W$165&lt;&gt;"",ROW($W$7:$W$165)-MIN(ROW($W$7:$W$165))+1,""),""),ROW()-ROW(A$167)+1))),),"")</f>
        <v/>
      </c>
    </row>
    <row r="273" customFormat="false" ht="13.8" hidden="false" customHeight="false" outlineLevel="0" collapsed="false">
      <c r="K273" s="0" t="str">
        <f aca="false">IFERROR(CONCATENATE(TEXT(INDEX($K$7:$K$165,SMALL(IF($N$7:$N$165&lt;&gt;"",IF($K$7:$K$165&lt;&gt;"",ROW($K$7:$K$165)-MIN(ROW($K$7:$K$165))+1,""),""),ROW()-ROW(A$167)+1)),"##0"),","),"")</f>
        <v/>
      </c>
      <c r="L273" s="0" t="str">
        <f aca="false">IFERROR(CONCATENATE((INDEX($N$7:$N$165,SMALL(IF($N$7:$N$165&lt;&gt;"",IF($K$7:$K$165&lt;&gt;"",ROW($K$7:$K$165)-MIN(ROW($K$7:$K$165))+1,""),""),ROW()-ROW(A$167)+1))),","),"")</f>
        <v/>
      </c>
      <c r="M273" s="0" t="str">
        <f aca="false">IFERROR(CONCATENATE((INDEX($A$7:$A$165,SMALL(IF($N$7:$N$165&lt;&gt;"",IF($K$7:$K$165&lt;&gt;"",ROW($K$7:$K$165)-MIN(ROW($K$7:$K$165))+1,""),""),ROW()-ROW(A$167)+1))),),"")</f>
        <v/>
      </c>
      <c r="Q273" s="0" t="str">
        <f aca="false">IFERROR(CONCATENATE((INDEX($T$7:$T$165,SMALL(IF($T$7:$T$165&lt;&gt;"",IF($Q$7:$Q$165&lt;&gt;"",ROW($Q$7:$Q$165)-MIN(ROW($Q$7:$Q$165))+1,""),""),ROW()-ROW(A$167)+1)))," "),"")</f>
        <v/>
      </c>
      <c r="R273" s="0" t="str">
        <f aca="false">IFERROR(CONCATENATE(TEXT(INDEX($Q$7:$Q$165,SMALL(IF($T$7:$T$165&lt;&gt;"",IF($Q$7:$Q$165&lt;&gt;"",ROW($Q$7:$Q$165)-MIN(ROW($Q$7:$Q$165))+1,""),""),ROW()-ROW(A$167)+1)),"##0")," "),"")</f>
        <v/>
      </c>
      <c r="S273" s="0" t="str">
        <f aca="false">IFERROR(CONCATENATE((INDEX($A$7:$A$165,SMALL(IF($T$7:$T$165&lt;&gt;"",IF($Q$7:$Q$165&lt;&gt;"",ROW($Q$7:$Q$165)-MIN(ROW($Q$7:$Q$165))+1,""),""),ROW()-ROW(A$167)+1))),),"")</f>
        <v/>
      </c>
      <c r="W273" s="0" t="str">
        <f aca="false">IFERROR(CONCATENATE((INDEX($Z$7:$Z$165,SMALL(IF($Z$7:$Z$165&lt;&gt;"",IF($W$7:$W$165&lt;&gt;"",ROW($W$7:$W$165)-MIN(ROW($W$7:$W$165))+1,""),""),ROW()-ROW(A$167)+1))),","),"")</f>
        <v/>
      </c>
      <c r="X273" s="0" t="str">
        <f aca="false">IFERROR(CONCATENATE(TEXT(INDEX($W$7:$W$165,SMALL(IF($Z$7:$Z$165&lt;&gt;"",IF($W$7:$W$165&lt;&gt;"",ROW($W$7:$W$165)-MIN(ROW($W$7:$W$165))+1,""),""),ROW()-ROW(A$167)+1)),"##0"),","),"")</f>
        <v/>
      </c>
      <c r="Y273" s="0" t="str">
        <f aca="false">IFERROR(CONCATENATE((INDEX($A$7:$A$165,SMALL(IF($Z$7:$Z$165&lt;&gt;"",IF($W$7:$W$165&lt;&gt;"",ROW($W$7:$W$165)-MIN(ROW($W$7:$W$165))+1,""),""),ROW()-ROW(A$167)+1))),),"")</f>
        <v/>
      </c>
    </row>
    <row r="274" customFormat="false" ht="13.8" hidden="false" customHeight="false" outlineLevel="0" collapsed="false">
      <c r="K274" s="0" t="str">
        <f aca="false">IFERROR(CONCATENATE(TEXT(INDEX($K$7:$K$165,SMALL(IF($N$7:$N$165&lt;&gt;"",IF($K$7:$K$165&lt;&gt;"",ROW($K$7:$K$165)-MIN(ROW($K$7:$K$165))+1,""),""),ROW()-ROW(A$167)+1)),"##0"),","),"")</f>
        <v/>
      </c>
      <c r="L274" s="0" t="str">
        <f aca="false">IFERROR(CONCATENATE((INDEX($N$7:$N$165,SMALL(IF($N$7:$N$165&lt;&gt;"",IF($K$7:$K$165&lt;&gt;"",ROW($K$7:$K$165)-MIN(ROW($K$7:$K$165))+1,""),""),ROW()-ROW(A$167)+1))),","),"")</f>
        <v/>
      </c>
      <c r="M274" s="0" t="str">
        <f aca="false">IFERROR(CONCATENATE((INDEX($A$7:$A$165,SMALL(IF($N$7:$N$165&lt;&gt;"",IF($K$7:$K$165&lt;&gt;"",ROW($K$7:$K$165)-MIN(ROW($K$7:$K$165))+1,""),""),ROW()-ROW(A$167)+1))),),"")</f>
        <v/>
      </c>
      <c r="Q274" s="0" t="str">
        <f aca="false">IFERROR(CONCATENATE((INDEX($T$7:$T$165,SMALL(IF($T$7:$T$165&lt;&gt;"",IF($Q$7:$Q$165&lt;&gt;"",ROW($Q$7:$Q$165)-MIN(ROW($Q$7:$Q$165))+1,""),""),ROW()-ROW(A$167)+1)))," "),"")</f>
        <v/>
      </c>
      <c r="R274" s="0" t="str">
        <f aca="false">IFERROR(CONCATENATE(TEXT(INDEX($Q$7:$Q$165,SMALL(IF($T$7:$T$165&lt;&gt;"",IF($Q$7:$Q$165&lt;&gt;"",ROW($Q$7:$Q$165)-MIN(ROW($Q$7:$Q$165))+1,""),""),ROW()-ROW(A$167)+1)),"##0")," "),"")</f>
        <v/>
      </c>
      <c r="S274" s="0" t="str">
        <f aca="false">IFERROR(CONCATENATE((INDEX($A$7:$A$165,SMALL(IF($T$7:$T$165&lt;&gt;"",IF($Q$7:$Q$165&lt;&gt;"",ROW($Q$7:$Q$165)-MIN(ROW($Q$7:$Q$165))+1,""),""),ROW()-ROW(A$167)+1))),),"")</f>
        <v/>
      </c>
      <c r="W274" s="0" t="str">
        <f aca="false">IFERROR(CONCATENATE((INDEX($Z$7:$Z$165,SMALL(IF($Z$7:$Z$165&lt;&gt;"",IF($W$7:$W$165&lt;&gt;"",ROW($W$7:$W$165)-MIN(ROW($W$7:$W$165))+1,""),""),ROW()-ROW(A$167)+1))),","),"")</f>
        <v/>
      </c>
      <c r="X274" s="0" t="str">
        <f aca="false">IFERROR(CONCATENATE(TEXT(INDEX($W$7:$W$165,SMALL(IF($Z$7:$Z$165&lt;&gt;"",IF($W$7:$W$165&lt;&gt;"",ROW($W$7:$W$165)-MIN(ROW($W$7:$W$165))+1,""),""),ROW()-ROW(A$167)+1)),"##0"),","),"")</f>
        <v/>
      </c>
      <c r="Y274" s="0" t="str">
        <f aca="false">IFERROR(CONCATENATE((INDEX($A$7:$A$165,SMALL(IF($Z$7:$Z$165&lt;&gt;"",IF($W$7:$W$165&lt;&gt;"",ROW($W$7:$W$165)-MIN(ROW($W$7:$W$165))+1,""),""),ROW()-ROW(A$167)+1))),),"")</f>
        <v/>
      </c>
    </row>
    <row r="275" customFormat="false" ht="13.8" hidden="false" customHeight="false" outlineLevel="0" collapsed="false">
      <c r="K275" s="0" t="str">
        <f aca="false">IFERROR(CONCATENATE(TEXT(INDEX($K$7:$K$165,SMALL(IF($N$7:$N$165&lt;&gt;"",IF($K$7:$K$165&lt;&gt;"",ROW($K$7:$K$165)-MIN(ROW($K$7:$K$165))+1,""),""),ROW()-ROW(A$167)+1)),"##0"),","),"")</f>
        <v/>
      </c>
      <c r="L275" s="0" t="str">
        <f aca="false">IFERROR(CONCATENATE((INDEX($N$7:$N$165,SMALL(IF($N$7:$N$165&lt;&gt;"",IF($K$7:$K$165&lt;&gt;"",ROW($K$7:$K$165)-MIN(ROW($K$7:$K$165))+1,""),""),ROW()-ROW(A$167)+1))),","),"")</f>
        <v/>
      </c>
      <c r="M275" s="0" t="str">
        <f aca="false">IFERROR(CONCATENATE((INDEX($A$7:$A$165,SMALL(IF($N$7:$N$165&lt;&gt;"",IF($K$7:$K$165&lt;&gt;"",ROW($K$7:$K$165)-MIN(ROW($K$7:$K$165))+1,""),""),ROW()-ROW(A$167)+1))),),"")</f>
        <v/>
      </c>
      <c r="Q275" s="0" t="str">
        <f aca="false">IFERROR(CONCATENATE((INDEX($T$7:$T$165,SMALL(IF($T$7:$T$165&lt;&gt;"",IF($Q$7:$Q$165&lt;&gt;"",ROW($Q$7:$Q$165)-MIN(ROW($Q$7:$Q$165))+1,""),""),ROW()-ROW(A$167)+1)))," "),"")</f>
        <v/>
      </c>
      <c r="R275" s="0" t="str">
        <f aca="false">IFERROR(CONCATENATE(TEXT(INDEX($Q$7:$Q$165,SMALL(IF($T$7:$T$165&lt;&gt;"",IF($Q$7:$Q$165&lt;&gt;"",ROW($Q$7:$Q$165)-MIN(ROW($Q$7:$Q$165))+1,""),""),ROW()-ROW(A$167)+1)),"##0")," "),"")</f>
        <v/>
      </c>
      <c r="S275" s="0" t="str">
        <f aca="false">IFERROR(CONCATENATE((INDEX($A$7:$A$165,SMALL(IF($T$7:$T$165&lt;&gt;"",IF($Q$7:$Q$165&lt;&gt;"",ROW($Q$7:$Q$165)-MIN(ROW($Q$7:$Q$165))+1,""),""),ROW()-ROW(A$167)+1))),),"")</f>
        <v/>
      </c>
      <c r="W275" s="0" t="str">
        <f aca="false">IFERROR(CONCATENATE((INDEX($Z$7:$Z$165,SMALL(IF($Z$7:$Z$165&lt;&gt;"",IF($W$7:$W$165&lt;&gt;"",ROW($W$7:$W$165)-MIN(ROW($W$7:$W$165))+1,""),""),ROW()-ROW(A$167)+1))),","),"")</f>
        <v/>
      </c>
      <c r="X275" s="0" t="str">
        <f aca="false">IFERROR(CONCATENATE(TEXT(INDEX($W$7:$W$165,SMALL(IF($Z$7:$Z$165&lt;&gt;"",IF($W$7:$W$165&lt;&gt;"",ROW($W$7:$W$165)-MIN(ROW($W$7:$W$165))+1,""),""),ROW()-ROW(A$167)+1)),"##0"),","),"")</f>
        <v/>
      </c>
      <c r="Y275" s="0" t="str">
        <f aca="false">IFERROR(CONCATENATE((INDEX($A$7:$A$165,SMALL(IF($Z$7:$Z$165&lt;&gt;"",IF($W$7:$W$165&lt;&gt;"",ROW($W$7:$W$165)-MIN(ROW($W$7:$W$165))+1,""),""),ROW()-ROW(A$167)+1))),),"")</f>
        <v/>
      </c>
    </row>
    <row r="276" customFormat="false" ht="13.8" hidden="false" customHeight="false" outlineLevel="0" collapsed="false">
      <c r="K276" s="0" t="str">
        <f aca="false">IFERROR(CONCATENATE(TEXT(INDEX($K$7:$K$165,SMALL(IF($N$7:$N$165&lt;&gt;"",IF($K$7:$K$165&lt;&gt;"",ROW($K$7:$K$165)-MIN(ROW($K$7:$K$165))+1,""),""),ROW()-ROW(A$167)+1)),"##0"),","),"")</f>
        <v/>
      </c>
      <c r="L276" s="0" t="str">
        <f aca="false">IFERROR(CONCATENATE((INDEX($N$7:$N$165,SMALL(IF($N$7:$N$165&lt;&gt;"",IF($K$7:$K$165&lt;&gt;"",ROW($K$7:$K$165)-MIN(ROW($K$7:$K$165))+1,""),""),ROW()-ROW(A$167)+1))),","),"")</f>
        <v/>
      </c>
      <c r="M276" s="0" t="str">
        <f aca="false">IFERROR(CONCATENATE((INDEX($A$7:$A$165,SMALL(IF($N$7:$N$165&lt;&gt;"",IF($K$7:$K$165&lt;&gt;"",ROW($K$7:$K$165)-MIN(ROW($K$7:$K$165))+1,""),""),ROW()-ROW(A$167)+1))),),"")</f>
        <v/>
      </c>
      <c r="Q276" s="0" t="str">
        <f aca="false">IFERROR(CONCATENATE((INDEX($T$7:$T$165,SMALL(IF($T$7:$T$165&lt;&gt;"",IF($Q$7:$Q$165&lt;&gt;"",ROW($Q$7:$Q$165)-MIN(ROW($Q$7:$Q$165))+1,""),""),ROW()-ROW(A$167)+1)))," "),"")</f>
        <v/>
      </c>
      <c r="R276" s="0" t="str">
        <f aca="false">IFERROR(CONCATENATE(TEXT(INDEX($Q$7:$Q$165,SMALL(IF($T$7:$T$165&lt;&gt;"",IF($Q$7:$Q$165&lt;&gt;"",ROW($Q$7:$Q$165)-MIN(ROW($Q$7:$Q$165))+1,""),""),ROW()-ROW(A$167)+1)),"##0")," "),"")</f>
        <v/>
      </c>
      <c r="S276" s="0" t="str">
        <f aca="false">IFERROR(CONCATENATE((INDEX($A$7:$A$165,SMALL(IF($T$7:$T$165&lt;&gt;"",IF($Q$7:$Q$165&lt;&gt;"",ROW($Q$7:$Q$165)-MIN(ROW($Q$7:$Q$165))+1,""),""),ROW()-ROW(A$167)+1))),),"")</f>
        <v/>
      </c>
      <c r="W276" s="0" t="str">
        <f aca="false">IFERROR(CONCATENATE((INDEX($Z$7:$Z$165,SMALL(IF($Z$7:$Z$165&lt;&gt;"",IF($W$7:$W$165&lt;&gt;"",ROW($W$7:$W$165)-MIN(ROW($W$7:$W$165))+1,""),""),ROW()-ROW(A$167)+1))),","),"")</f>
        <v/>
      </c>
      <c r="X276" s="0" t="str">
        <f aca="false">IFERROR(CONCATENATE(TEXT(INDEX($W$7:$W$165,SMALL(IF($Z$7:$Z$165&lt;&gt;"",IF($W$7:$W$165&lt;&gt;"",ROW($W$7:$W$165)-MIN(ROW($W$7:$W$165))+1,""),""),ROW()-ROW(A$167)+1)),"##0"),","),"")</f>
        <v/>
      </c>
      <c r="Y276" s="0" t="str">
        <f aca="false">IFERROR(CONCATENATE((INDEX($A$7:$A$165,SMALL(IF($Z$7:$Z$165&lt;&gt;"",IF($W$7:$W$165&lt;&gt;"",ROW($W$7:$W$165)-MIN(ROW($W$7:$W$165))+1,""),""),ROW()-ROW(A$167)+1))),),"")</f>
        <v/>
      </c>
    </row>
    <row r="277" customFormat="false" ht="13.8" hidden="false" customHeight="false" outlineLevel="0" collapsed="false">
      <c r="K277" s="0" t="str">
        <f aca="false">IFERROR(CONCATENATE(TEXT(INDEX($K$7:$K$165,SMALL(IF($N$7:$N$165&lt;&gt;"",IF($K$7:$K$165&lt;&gt;"",ROW($K$7:$K$165)-MIN(ROW($K$7:$K$165))+1,""),""),ROW()-ROW(A$167)+1)),"##0"),","),"")</f>
        <v/>
      </c>
      <c r="L277" s="0" t="str">
        <f aca="false">IFERROR(CONCATENATE((INDEX($N$7:$N$165,SMALL(IF($N$7:$N$165&lt;&gt;"",IF($K$7:$K$165&lt;&gt;"",ROW($K$7:$K$165)-MIN(ROW($K$7:$K$165))+1,""),""),ROW()-ROW(A$167)+1))),","),"")</f>
        <v/>
      </c>
      <c r="M277" s="0" t="str">
        <f aca="false">IFERROR(CONCATENATE((INDEX($A$7:$A$165,SMALL(IF($N$7:$N$165&lt;&gt;"",IF($K$7:$K$165&lt;&gt;"",ROW($K$7:$K$165)-MIN(ROW($K$7:$K$165))+1,""),""),ROW()-ROW(A$167)+1))),),"")</f>
        <v/>
      </c>
      <c r="Q277" s="0" t="str">
        <f aca="false">IFERROR(CONCATENATE((INDEX($T$7:$T$165,SMALL(IF($T$7:$T$165&lt;&gt;"",IF($Q$7:$Q$165&lt;&gt;"",ROW($Q$7:$Q$165)-MIN(ROW($Q$7:$Q$165))+1,""),""),ROW()-ROW(A$167)+1)))," "),"")</f>
        <v/>
      </c>
      <c r="R277" s="0" t="str">
        <f aca="false">IFERROR(CONCATENATE(TEXT(INDEX($Q$7:$Q$165,SMALL(IF($T$7:$T$165&lt;&gt;"",IF($Q$7:$Q$165&lt;&gt;"",ROW($Q$7:$Q$165)-MIN(ROW($Q$7:$Q$165))+1,""),""),ROW()-ROW(A$167)+1)),"##0")," "),"")</f>
        <v/>
      </c>
      <c r="S277" s="0" t="str">
        <f aca="false">IFERROR(CONCATENATE((INDEX($A$7:$A$165,SMALL(IF($T$7:$T$165&lt;&gt;"",IF($Q$7:$Q$165&lt;&gt;"",ROW($Q$7:$Q$165)-MIN(ROW($Q$7:$Q$165))+1,""),""),ROW()-ROW(A$167)+1))),),"")</f>
        <v/>
      </c>
      <c r="W277" s="0" t="str">
        <f aca="false">IFERROR(CONCATENATE((INDEX($Z$7:$Z$165,SMALL(IF($Z$7:$Z$165&lt;&gt;"",IF($W$7:$W$165&lt;&gt;"",ROW($W$7:$W$165)-MIN(ROW($W$7:$W$165))+1,""),""),ROW()-ROW(A$167)+1))),","),"")</f>
        <v/>
      </c>
      <c r="X277" s="0" t="str">
        <f aca="false">IFERROR(CONCATENATE(TEXT(INDEX($W$7:$W$165,SMALL(IF($Z$7:$Z$165&lt;&gt;"",IF($W$7:$W$165&lt;&gt;"",ROW($W$7:$W$165)-MIN(ROW($W$7:$W$165))+1,""),""),ROW()-ROW(A$167)+1)),"##0"),","),"")</f>
        <v/>
      </c>
      <c r="Y277" s="0" t="str">
        <f aca="false">IFERROR(CONCATENATE((INDEX($A$7:$A$165,SMALL(IF($Z$7:$Z$165&lt;&gt;"",IF($W$7:$W$165&lt;&gt;"",ROW($W$7:$W$165)-MIN(ROW($W$7:$W$165))+1,""),""),ROW()-ROW(A$167)+1))),),"")</f>
        <v/>
      </c>
    </row>
    <row r="278" customFormat="false" ht="13.8" hidden="false" customHeight="false" outlineLevel="0" collapsed="false">
      <c r="K278" s="0" t="str">
        <f aca="false">IFERROR(CONCATENATE(TEXT(INDEX($K$7:$K$165,SMALL(IF($N$7:$N$165&lt;&gt;"",IF($K$7:$K$165&lt;&gt;"",ROW($K$7:$K$165)-MIN(ROW($K$7:$K$165))+1,""),""),ROW()-ROW(A$167)+1)),"##0"),","),"")</f>
        <v/>
      </c>
      <c r="L278" s="0" t="str">
        <f aca="false">IFERROR(CONCATENATE((INDEX($N$7:$N$165,SMALL(IF($N$7:$N$165&lt;&gt;"",IF($K$7:$K$165&lt;&gt;"",ROW($K$7:$K$165)-MIN(ROW($K$7:$K$165))+1,""),""),ROW()-ROW(A$167)+1))),","),"")</f>
        <v/>
      </c>
      <c r="M278" s="0" t="str">
        <f aca="false">IFERROR(CONCATENATE((INDEX($A$7:$A$165,SMALL(IF($N$7:$N$165&lt;&gt;"",IF($K$7:$K$165&lt;&gt;"",ROW($K$7:$K$165)-MIN(ROW($K$7:$K$165))+1,""),""),ROW()-ROW(A$167)+1))),),"")</f>
        <v/>
      </c>
      <c r="Q278" s="0" t="str">
        <f aca="false">IFERROR(CONCATENATE((INDEX($T$7:$T$165,SMALL(IF($T$7:$T$165&lt;&gt;"",IF($Q$7:$Q$165&lt;&gt;"",ROW($Q$7:$Q$165)-MIN(ROW($Q$7:$Q$165))+1,""),""),ROW()-ROW(A$167)+1)))," "),"")</f>
        <v/>
      </c>
      <c r="R278" s="0" t="str">
        <f aca="false">IFERROR(CONCATENATE(TEXT(INDEX($Q$7:$Q$165,SMALL(IF($T$7:$T$165&lt;&gt;"",IF($Q$7:$Q$165&lt;&gt;"",ROW($Q$7:$Q$165)-MIN(ROW($Q$7:$Q$165))+1,""),""),ROW()-ROW(A$167)+1)),"##0")," "),"")</f>
        <v/>
      </c>
      <c r="S278" s="0" t="str">
        <f aca="false">IFERROR(CONCATENATE((INDEX($A$7:$A$165,SMALL(IF($T$7:$T$165&lt;&gt;"",IF($Q$7:$Q$165&lt;&gt;"",ROW($Q$7:$Q$165)-MIN(ROW($Q$7:$Q$165))+1,""),""),ROW()-ROW(A$167)+1))),),"")</f>
        <v/>
      </c>
      <c r="W278" s="0" t="str">
        <f aca="false">IFERROR(CONCATENATE((INDEX($Z$7:$Z$165,SMALL(IF($Z$7:$Z$165&lt;&gt;"",IF($W$7:$W$165&lt;&gt;"",ROW($W$7:$W$165)-MIN(ROW($W$7:$W$165))+1,""),""),ROW()-ROW(A$167)+1))),","),"")</f>
        <v/>
      </c>
      <c r="X278" s="0" t="str">
        <f aca="false">IFERROR(CONCATENATE(TEXT(INDEX($W$7:$W$165,SMALL(IF($Z$7:$Z$165&lt;&gt;"",IF($W$7:$W$165&lt;&gt;"",ROW($W$7:$W$165)-MIN(ROW($W$7:$W$165))+1,""),""),ROW()-ROW(A$167)+1)),"##0"),","),"")</f>
        <v/>
      </c>
      <c r="Y278" s="0" t="str">
        <f aca="false">IFERROR(CONCATENATE((INDEX($A$7:$A$165,SMALL(IF($Z$7:$Z$165&lt;&gt;"",IF($W$7:$W$165&lt;&gt;"",ROW($W$7:$W$165)-MIN(ROW($W$7:$W$165))+1,""),""),ROW()-ROW(A$167)+1))),),"")</f>
        <v/>
      </c>
    </row>
    <row r="279" customFormat="false" ht="13.8" hidden="false" customHeight="false" outlineLevel="0" collapsed="false">
      <c r="K279" s="0" t="str">
        <f aca="false">IFERROR(CONCATENATE(TEXT(INDEX($K$7:$K$165,SMALL(IF($N$7:$N$165&lt;&gt;"",IF($K$7:$K$165&lt;&gt;"",ROW($K$7:$K$165)-MIN(ROW($K$7:$K$165))+1,""),""),ROW()-ROW(A$167)+1)),"##0"),","),"")</f>
        <v/>
      </c>
      <c r="L279" s="0" t="str">
        <f aca="false">IFERROR(CONCATENATE((INDEX($N$7:$N$165,SMALL(IF($N$7:$N$165&lt;&gt;"",IF($K$7:$K$165&lt;&gt;"",ROW($K$7:$K$165)-MIN(ROW($K$7:$K$165))+1,""),""),ROW()-ROW(A$167)+1))),","),"")</f>
        <v/>
      </c>
      <c r="M279" s="0" t="str">
        <f aca="false">IFERROR(CONCATENATE((INDEX($A$7:$A$165,SMALL(IF($N$7:$N$165&lt;&gt;"",IF($K$7:$K$165&lt;&gt;"",ROW($K$7:$K$165)-MIN(ROW($K$7:$K$165))+1,""),""),ROW()-ROW(A$167)+1))),),"")</f>
        <v/>
      </c>
      <c r="Q279" s="0" t="str">
        <f aca="false">IFERROR(CONCATENATE((INDEX($T$7:$T$165,SMALL(IF($T$7:$T$165&lt;&gt;"",IF($Q$7:$Q$165&lt;&gt;"",ROW($Q$7:$Q$165)-MIN(ROW($Q$7:$Q$165))+1,""),""),ROW()-ROW(A$167)+1)))," "),"")</f>
        <v/>
      </c>
      <c r="R279" s="0" t="str">
        <f aca="false">IFERROR(CONCATENATE(TEXT(INDEX($Q$7:$Q$165,SMALL(IF($T$7:$T$165&lt;&gt;"",IF($Q$7:$Q$165&lt;&gt;"",ROW($Q$7:$Q$165)-MIN(ROW($Q$7:$Q$165))+1,""),""),ROW()-ROW(A$167)+1)),"##0")," "),"")</f>
        <v/>
      </c>
      <c r="S279" s="0" t="str">
        <f aca="false">IFERROR(CONCATENATE((INDEX($A$7:$A$165,SMALL(IF($T$7:$T$165&lt;&gt;"",IF($Q$7:$Q$165&lt;&gt;"",ROW($Q$7:$Q$165)-MIN(ROW($Q$7:$Q$165))+1,""),""),ROW()-ROW(A$167)+1))),),"")</f>
        <v/>
      </c>
      <c r="W279" s="0" t="str">
        <f aca="false">IFERROR(CONCATENATE((INDEX($Z$7:$Z$165,SMALL(IF($Z$7:$Z$165&lt;&gt;"",IF($W$7:$W$165&lt;&gt;"",ROW($W$7:$W$165)-MIN(ROW($W$7:$W$165))+1,""),""),ROW()-ROW(A$167)+1))),","),"")</f>
        <v/>
      </c>
      <c r="X279" s="0" t="str">
        <f aca="false">IFERROR(CONCATENATE(TEXT(INDEX($W$7:$W$165,SMALL(IF($Z$7:$Z$165&lt;&gt;"",IF($W$7:$W$165&lt;&gt;"",ROW($W$7:$W$165)-MIN(ROW($W$7:$W$165))+1,""),""),ROW()-ROW(A$167)+1)),"##0"),","),"")</f>
        <v/>
      </c>
      <c r="Y279" s="0" t="str">
        <f aca="false">IFERROR(CONCATENATE((INDEX($A$7:$A$165,SMALL(IF($Z$7:$Z$165&lt;&gt;"",IF($W$7:$W$165&lt;&gt;"",ROW($W$7:$W$165)-MIN(ROW($W$7:$W$165))+1,""),""),ROW()-ROW(A$167)+1))),),"")</f>
        <v/>
      </c>
    </row>
    <row r="280" customFormat="false" ht="13.8" hidden="false" customHeight="false" outlineLevel="0" collapsed="false">
      <c r="K280" s="0" t="str">
        <f aca="false">IFERROR(CONCATENATE(TEXT(INDEX($K$7:$K$165,SMALL(IF($N$7:$N$165&lt;&gt;"",IF($K$7:$K$165&lt;&gt;"",ROW($K$7:$K$165)-MIN(ROW($K$7:$K$165))+1,""),""),ROW()-ROW(A$167)+1)),"##0"),","),"")</f>
        <v/>
      </c>
      <c r="L280" s="0" t="str">
        <f aca="false">IFERROR(CONCATENATE((INDEX($N$7:$N$165,SMALL(IF($N$7:$N$165&lt;&gt;"",IF($K$7:$K$165&lt;&gt;"",ROW($K$7:$K$165)-MIN(ROW($K$7:$K$165))+1,""),""),ROW()-ROW(A$167)+1))),","),"")</f>
        <v/>
      </c>
      <c r="M280" s="0" t="str">
        <f aca="false">IFERROR(CONCATENATE((INDEX($A$7:$A$165,SMALL(IF($N$7:$N$165&lt;&gt;"",IF($K$7:$K$165&lt;&gt;"",ROW($K$7:$K$165)-MIN(ROW($K$7:$K$165))+1,""),""),ROW()-ROW(A$167)+1))),),"")</f>
        <v/>
      </c>
      <c r="Q280" s="0" t="str">
        <f aca="false">IFERROR(CONCATENATE((INDEX($T$7:$T$165,SMALL(IF($T$7:$T$165&lt;&gt;"",IF($Q$7:$Q$165&lt;&gt;"",ROW($Q$7:$Q$165)-MIN(ROW($Q$7:$Q$165))+1,""),""),ROW()-ROW(A$167)+1)))," "),"")</f>
        <v/>
      </c>
      <c r="R280" s="0" t="str">
        <f aca="false">IFERROR(CONCATENATE(TEXT(INDEX($Q$7:$Q$165,SMALL(IF($T$7:$T$165&lt;&gt;"",IF($Q$7:$Q$165&lt;&gt;"",ROW($Q$7:$Q$165)-MIN(ROW($Q$7:$Q$165))+1,""),""),ROW()-ROW(A$167)+1)),"##0")," "),"")</f>
        <v/>
      </c>
      <c r="S280" s="0" t="str">
        <f aca="false">IFERROR(CONCATENATE((INDEX($A$7:$A$165,SMALL(IF($T$7:$T$165&lt;&gt;"",IF($Q$7:$Q$165&lt;&gt;"",ROW($Q$7:$Q$165)-MIN(ROW($Q$7:$Q$165))+1,""),""),ROW()-ROW(A$167)+1))),),"")</f>
        <v/>
      </c>
      <c r="W280" s="0" t="str">
        <f aca="false">IFERROR(CONCATENATE((INDEX($Z$7:$Z$165,SMALL(IF($Z$7:$Z$165&lt;&gt;"",IF($W$7:$W$165&lt;&gt;"",ROW($W$7:$W$165)-MIN(ROW($W$7:$W$165))+1,""),""),ROW()-ROW(A$167)+1))),","),"")</f>
        <v/>
      </c>
      <c r="X280" s="0" t="str">
        <f aca="false">IFERROR(CONCATENATE(TEXT(INDEX($W$7:$W$165,SMALL(IF($Z$7:$Z$165&lt;&gt;"",IF($W$7:$W$165&lt;&gt;"",ROW($W$7:$W$165)-MIN(ROW($W$7:$W$165))+1,""),""),ROW()-ROW(A$167)+1)),"##0"),","),"")</f>
        <v/>
      </c>
      <c r="Y280" s="0" t="str">
        <f aca="false">IFERROR(CONCATENATE((INDEX($A$7:$A$165,SMALL(IF($Z$7:$Z$165&lt;&gt;"",IF($W$7:$W$165&lt;&gt;"",ROW($W$7:$W$165)-MIN(ROW($W$7:$W$165))+1,""),""),ROW()-ROW(A$167)+1))),),"")</f>
        <v/>
      </c>
    </row>
    <row r="281" customFormat="false" ht="13.8" hidden="false" customHeight="false" outlineLevel="0" collapsed="false">
      <c r="K281" s="0" t="str">
        <f aca="false">IFERROR(CONCATENATE(TEXT(INDEX($K$7:$K$165,SMALL(IF($N$7:$N$165&lt;&gt;"",IF($K$7:$K$165&lt;&gt;"",ROW($K$7:$K$165)-MIN(ROW($K$7:$K$165))+1,""),""),ROW()-ROW(A$167)+1)),"##0"),","),"")</f>
        <v/>
      </c>
      <c r="L281" s="0" t="str">
        <f aca="false">IFERROR(CONCATENATE((INDEX($N$7:$N$165,SMALL(IF($N$7:$N$165&lt;&gt;"",IF($K$7:$K$165&lt;&gt;"",ROW($K$7:$K$165)-MIN(ROW($K$7:$K$165))+1,""),""),ROW()-ROW(A$167)+1))),","),"")</f>
        <v/>
      </c>
      <c r="M281" s="0" t="str">
        <f aca="false">IFERROR(CONCATENATE((INDEX($A$7:$A$165,SMALL(IF($N$7:$N$165&lt;&gt;"",IF($K$7:$K$165&lt;&gt;"",ROW($K$7:$K$165)-MIN(ROW($K$7:$K$165))+1,""),""),ROW()-ROW(A$167)+1))),),"")</f>
        <v/>
      </c>
      <c r="Q281" s="0" t="str">
        <f aca="false">IFERROR(CONCATENATE((INDEX($T$7:$T$165,SMALL(IF($T$7:$T$165&lt;&gt;"",IF($Q$7:$Q$165&lt;&gt;"",ROW($Q$7:$Q$165)-MIN(ROW($Q$7:$Q$165))+1,""),""),ROW()-ROW(A$167)+1)))," "),"")</f>
        <v/>
      </c>
      <c r="R281" s="0" t="str">
        <f aca="false">IFERROR(CONCATENATE(TEXT(INDEX($Q$7:$Q$165,SMALL(IF($T$7:$T$165&lt;&gt;"",IF($Q$7:$Q$165&lt;&gt;"",ROW($Q$7:$Q$165)-MIN(ROW($Q$7:$Q$165))+1,""),""),ROW()-ROW(A$167)+1)),"##0")," "),"")</f>
        <v/>
      </c>
      <c r="S281" s="0" t="str">
        <f aca="false">IFERROR(CONCATENATE((INDEX($A$7:$A$165,SMALL(IF($T$7:$T$165&lt;&gt;"",IF($Q$7:$Q$165&lt;&gt;"",ROW($Q$7:$Q$165)-MIN(ROW($Q$7:$Q$165))+1,""),""),ROW()-ROW(A$167)+1))),),"")</f>
        <v/>
      </c>
      <c r="W281" s="0" t="str">
        <f aca="false">IFERROR(CONCATENATE((INDEX($Z$7:$Z$165,SMALL(IF($Z$7:$Z$165&lt;&gt;"",IF($W$7:$W$165&lt;&gt;"",ROW($W$7:$W$165)-MIN(ROW($W$7:$W$165))+1,""),""),ROW()-ROW(A$167)+1))),","),"")</f>
        <v/>
      </c>
      <c r="X281" s="0" t="str">
        <f aca="false">IFERROR(CONCATENATE(TEXT(INDEX($W$7:$W$165,SMALL(IF($Z$7:$Z$165&lt;&gt;"",IF($W$7:$W$165&lt;&gt;"",ROW($W$7:$W$165)-MIN(ROW($W$7:$W$165))+1,""),""),ROW()-ROW(A$167)+1)),"##0"),","),"")</f>
        <v/>
      </c>
      <c r="Y281" s="0" t="str">
        <f aca="false">IFERROR(CONCATENATE((INDEX($A$7:$A$165,SMALL(IF($Z$7:$Z$165&lt;&gt;"",IF($W$7:$W$165&lt;&gt;"",ROW($W$7:$W$165)-MIN(ROW($W$7:$W$165))+1,""),""),ROW()-ROW(A$167)+1))),),"")</f>
        <v/>
      </c>
    </row>
    <row r="282" customFormat="false" ht="13.8" hidden="false" customHeight="false" outlineLevel="0" collapsed="false">
      <c r="K282" s="0" t="str">
        <f aca="false">IFERROR(CONCATENATE(TEXT(INDEX($K$7:$K$165,SMALL(IF($N$7:$N$165&lt;&gt;"",IF($K$7:$K$165&lt;&gt;"",ROW($K$7:$K$165)-MIN(ROW($K$7:$K$165))+1,""),""),ROW()-ROW(A$167)+1)),"##0"),","),"")</f>
        <v/>
      </c>
      <c r="L282" s="0" t="str">
        <f aca="false">IFERROR(CONCATENATE((INDEX($N$7:$N$165,SMALL(IF($N$7:$N$165&lt;&gt;"",IF($K$7:$K$165&lt;&gt;"",ROW($K$7:$K$165)-MIN(ROW($K$7:$K$165))+1,""),""),ROW()-ROW(A$167)+1))),","),"")</f>
        <v/>
      </c>
      <c r="M282" s="0" t="str">
        <f aca="false">IFERROR(CONCATENATE((INDEX($A$7:$A$165,SMALL(IF($N$7:$N$165&lt;&gt;"",IF($K$7:$K$165&lt;&gt;"",ROW($K$7:$K$165)-MIN(ROW($K$7:$K$165))+1,""),""),ROW()-ROW(A$167)+1))),),"")</f>
        <v/>
      </c>
      <c r="Q282" s="0" t="str">
        <f aca="false">IFERROR(CONCATENATE((INDEX($T$7:$T$165,SMALL(IF($T$7:$T$165&lt;&gt;"",IF($Q$7:$Q$165&lt;&gt;"",ROW($Q$7:$Q$165)-MIN(ROW($Q$7:$Q$165))+1,""),""),ROW()-ROW(A$167)+1)))," "),"")</f>
        <v/>
      </c>
      <c r="R282" s="0" t="str">
        <f aca="false">IFERROR(CONCATENATE(TEXT(INDEX($Q$7:$Q$165,SMALL(IF($T$7:$T$165&lt;&gt;"",IF($Q$7:$Q$165&lt;&gt;"",ROW($Q$7:$Q$165)-MIN(ROW($Q$7:$Q$165))+1,""),""),ROW()-ROW(A$167)+1)),"##0")," "),"")</f>
        <v/>
      </c>
      <c r="S282" s="0" t="str">
        <f aca="false">IFERROR(CONCATENATE((INDEX($A$7:$A$165,SMALL(IF($T$7:$T$165&lt;&gt;"",IF($Q$7:$Q$165&lt;&gt;"",ROW($Q$7:$Q$165)-MIN(ROW($Q$7:$Q$165))+1,""),""),ROW()-ROW(A$167)+1))),),"")</f>
        <v/>
      </c>
      <c r="W282" s="0" t="str">
        <f aca="false">IFERROR(CONCATENATE((INDEX($Z$7:$Z$165,SMALL(IF($Z$7:$Z$165&lt;&gt;"",IF($W$7:$W$165&lt;&gt;"",ROW($W$7:$W$165)-MIN(ROW($W$7:$W$165))+1,""),""),ROW()-ROW(A$167)+1))),","),"")</f>
        <v/>
      </c>
      <c r="X282" s="0" t="str">
        <f aca="false">IFERROR(CONCATENATE(TEXT(INDEX($W$7:$W$165,SMALL(IF($Z$7:$Z$165&lt;&gt;"",IF($W$7:$W$165&lt;&gt;"",ROW($W$7:$W$165)-MIN(ROW($W$7:$W$165))+1,""),""),ROW()-ROW(A$167)+1)),"##0"),","),"")</f>
        <v/>
      </c>
      <c r="Y282" s="0" t="str">
        <f aca="false">IFERROR(CONCATENATE((INDEX($A$7:$A$165,SMALL(IF($Z$7:$Z$165&lt;&gt;"",IF($W$7:$W$165&lt;&gt;"",ROW($W$7:$W$165)-MIN(ROW($W$7:$W$165))+1,""),""),ROW()-ROW(A$167)+1))),),"")</f>
        <v/>
      </c>
    </row>
    <row r="283" customFormat="false" ht="13.8" hidden="false" customHeight="false" outlineLevel="0" collapsed="false">
      <c r="K283" s="0" t="str">
        <f aca="false">IFERROR(CONCATENATE(TEXT(INDEX($K$7:$K$165,SMALL(IF($N$7:$N$165&lt;&gt;"",IF($K$7:$K$165&lt;&gt;"",ROW($K$7:$K$165)-MIN(ROW($K$7:$K$165))+1,""),""),ROW()-ROW(A$167)+1)),"##0"),","),"")</f>
        <v/>
      </c>
      <c r="L283" s="0" t="str">
        <f aca="false">IFERROR(CONCATENATE((INDEX($N$7:$N$165,SMALL(IF($N$7:$N$165&lt;&gt;"",IF($K$7:$K$165&lt;&gt;"",ROW($K$7:$K$165)-MIN(ROW($K$7:$K$165))+1,""),""),ROW()-ROW(A$167)+1))),","),"")</f>
        <v/>
      </c>
      <c r="M283" s="0" t="str">
        <f aca="false">IFERROR(CONCATENATE((INDEX($A$7:$A$165,SMALL(IF($N$7:$N$165&lt;&gt;"",IF($K$7:$K$165&lt;&gt;"",ROW($K$7:$K$165)-MIN(ROW($K$7:$K$165))+1,""),""),ROW()-ROW(A$167)+1))),),"")</f>
        <v/>
      </c>
      <c r="Q283" s="0" t="str">
        <f aca="false">IFERROR(CONCATENATE((INDEX($T$7:$T$165,SMALL(IF($T$7:$T$165&lt;&gt;"",IF($Q$7:$Q$165&lt;&gt;"",ROW($Q$7:$Q$165)-MIN(ROW($Q$7:$Q$165))+1,""),""),ROW()-ROW(A$167)+1)))," "),"")</f>
        <v/>
      </c>
      <c r="R283" s="0" t="str">
        <f aca="false">IFERROR(CONCATENATE(TEXT(INDEX($Q$7:$Q$165,SMALL(IF($T$7:$T$165&lt;&gt;"",IF($Q$7:$Q$165&lt;&gt;"",ROW($Q$7:$Q$165)-MIN(ROW($Q$7:$Q$165))+1,""),""),ROW()-ROW(A$167)+1)),"##0")," "),"")</f>
        <v/>
      </c>
      <c r="S283" s="0" t="str">
        <f aca="false">IFERROR(CONCATENATE((INDEX($A$7:$A$165,SMALL(IF($T$7:$T$165&lt;&gt;"",IF($Q$7:$Q$165&lt;&gt;"",ROW($Q$7:$Q$165)-MIN(ROW($Q$7:$Q$165))+1,""),""),ROW()-ROW(A$167)+1))),),"")</f>
        <v/>
      </c>
      <c r="W283" s="0" t="str">
        <f aca="false">IFERROR(CONCATENATE((INDEX($Z$7:$Z$165,SMALL(IF($Z$7:$Z$165&lt;&gt;"",IF($W$7:$W$165&lt;&gt;"",ROW($W$7:$W$165)-MIN(ROW($W$7:$W$165))+1,""),""),ROW()-ROW(A$167)+1))),","),"")</f>
        <v/>
      </c>
      <c r="X283" s="0" t="str">
        <f aca="false">IFERROR(CONCATENATE(TEXT(INDEX($W$7:$W$165,SMALL(IF($Z$7:$Z$165&lt;&gt;"",IF($W$7:$W$165&lt;&gt;"",ROW($W$7:$W$165)-MIN(ROW($W$7:$W$165))+1,""),""),ROW()-ROW(A$167)+1)),"##0"),","),"")</f>
        <v/>
      </c>
      <c r="Y283" s="0" t="str">
        <f aca="false">IFERROR(CONCATENATE((INDEX($A$7:$A$165,SMALL(IF($Z$7:$Z$165&lt;&gt;"",IF($W$7:$W$165&lt;&gt;"",ROW($W$7:$W$165)-MIN(ROW($W$7:$W$165))+1,""),""),ROW()-ROW(A$167)+1))),),"")</f>
        <v/>
      </c>
    </row>
    <row r="284" customFormat="false" ht="13.8" hidden="false" customHeight="false" outlineLevel="0" collapsed="false">
      <c r="K284" s="0" t="str">
        <f aca="false">IFERROR(CONCATENATE(TEXT(INDEX($K$7:$K$165,SMALL(IF($N$7:$N$165&lt;&gt;"",IF($K$7:$K$165&lt;&gt;"",ROW($K$7:$K$165)-MIN(ROW($K$7:$K$165))+1,""),""),ROW()-ROW(A$167)+1)),"##0"),","),"")</f>
        <v/>
      </c>
      <c r="L284" s="0" t="str">
        <f aca="false">IFERROR(CONCATENATE((INDEX($N$7:$N$165,SMALL(IF($N$7:$N$165&lt;&gt;"",IF($K$7:$K$165&lt;&gt;"",ROW($K$7:$K$165)-MIN(ROW($K$7:$K$165))+1,""),""),ROW()-ROW(A$167)+1))),","),"")</f>
        <v/>
      </c>
      <c r="M284" s="0" t="str">
        <f aca="false">IFERROR(CONCATENATE((INDEX($A$7:$A$165,SMALL(IF($N$7:$N$165&lt;&gt;"",IF($K$7:$K$165&lt;&gt;"",ROW($K$7:$K$165)-MIN(ROW($K$7:$K$165))+1,""),""),ROW()-ROW(A$167)+1))),),"")</f>
        <v/>
      </c>
      <c r="Q284" s="0" t="str">
        <f aca="false">IFERROR(CONCATENATE((INDEX($T$7:$T$165,SMALL(IF($T$7:$T$165&lt;&gt;"",IF($Q$7:$Q$165&lt;&gt;"",ROW($Q$7:$Q$165)-MIN(ROW($Q$7:$Q$165))+1,""),""),ROW()-ROW(A$167)+1)))," "),"")</f>
        <v/>
      </c>
      <c r="R284" s="0" t="str">
        <f aca="false">IFERROR(CONCATENATE(TEXT(INDEX($Q$7:$Q$165,SMALL(IF($T$7:$T$165&lt;&gt;"",IF($Q$7:$Q$165&lt;&gt;"",ROW($Q$7:$Q$165)-MIN(ROW($Q$7:$Q$165))+1,""),""),ROW()-ROW(A$167)+1)),"##0")," "),"")</f>
        <v/>
      </c>
      <c r="S284" s="0" t="str">
        <f aca="false">IFERROR(CONCATENATE((INDEX($A$7:$A$165,SMALL(IF($T$7:$T$165&lt;&gt;"",IF($Q$7:$Q$165&lt;&gt;"",ROW($Q$7:$Q$165)-MIN(ROW($Q$7:$Q$165))+1,""),""),ROW()-ROW(A$167)+1))),),"")</f>
        <v/>
      </c>
      <c r="W284" s="0" t="str">
        <f aca="false">IFERROR(CONCATENATE((INDEX($Z$7:$Z$165,SMALL(IF($Z$7:$Z$165&lt;&gt;"",IF($W$7:$W$165&lt;&gt;"",ROW($W$7:$W$165)-MIN(ROW($W$7:$W$165))+1,""),""),ROW()-ROW(A$167)+1))),","),"")</f>
        <v/>
      </c>
      <c r="X284" s="0" t="str">
        <f aca="false">IFERROR(CONCATENATE(TEXT(INDEX($W$7:$W$165,SMALL(IF($Z$7:$Z$165&lt;&gt;"",IF($W$7:$W$165&lt;&gt;"",ROW($W$7:$W$165)-MIN(ROW($W$7:$W$165))+1,""),""),ROW()-ROW(A$167)+1)),"##0"),","),"")</f>
        <v/>
      </c>
      <c r="Y284" s="0" t="str">
        <f aca="false">IFERROR(CONCATENATE((INDEX($A$7:$A$165,SMALL(IF($Z$7:$Z$165&lt;&gt;"",IF($W$7:$W$165&lt;&gt;"",ROW($W$7:$W$165)-MIN(ROW($W$7:$W$165))+1,""),""),ROW()-ROW(A$167)+1))),),"")</f>
        <v/>
      </c>
    </row>
    <row r="285" customFormat="false" ht="13.8" hidden="false" customHeight="false" outlineLevel="0" collapsed="false">
      <c r="K285" s="0" t="str">
        <f aca="false">IFERROR(CONCATENATE(TEXT(INDEX($K$7:$K$165,SMALL(IF($N$7:$N$165&lt;&gt;"",IF($K$7:$K$165&lt;&gt;"",ROW($K$7:$K$165)-MIN(ROW($K$7:$K$165))+1,""),""),ROW()-ROW(A$167)+1)),"##0"),","),"")</f>
        <v/>
      </c>
      <c r="L285" s="0" t="str">
        <f aca="false">IFERROR(CONCATENATE((INDEX($N$7:$N$165,SMALL(IF($N$7:$N$165&lt;&gt;"",IF($K$7:$K$165&lt;&gt;"",ROW($K$7:$K$165)-MIN(ROW($K$7:$K$165))+1,""),""),ROW()-ROW(A$167)+1))),","),"")</f>
        <v/>
      </c>
      <c r="M285" s="0" t="str">
        <f aca="false">IFERROR(CONCATENATE((INDEX($A$7:$A$165,SMALL(IF($N$7:$N$165&lt;&gt;"",IF($K$7:$K$165&lt;&gt;"",ROW($K$7:$K$165)-MIN(ROW($K$7:$K$165))+1,""),""),ROW()-ROW(A$167)+1))),),"")</f>
        <v/>
      </c>
      <c r="Q285" s="0" t="str">
        <f aca="false">IFERROR(CONCATENATE((INDEX($T$7:$T$165,SMALL(IF($T$7:$T$165&lt;&gt;"",IF($Q$7:$Q$165&lt;&gt;"",ROW($Q$7:$Q$165)-MIN(ROW($Q$7:$Q$165))+1,""),""),ROW()-ROW(A$167)+1)))," "),"")</f>
        <v/>
      </c>
      <c r="R285" s="0" t="str">
        <f aca="false">IFERROR(CONCATENATE(TEXT(INDEX($Q$7:$Q$165,SMALL(IF($T$7:$T$165&lt;&gt;"",IF($Q$7:$Q$165&lt;&gt;"",ROW($Q$7:$Q$165)-MIN(ROW($Q$7:$Q$165))+1,""),""),ROW()-ROW(A$167)+1)),"##0")," "),"")</f>
        <v/>
      </c>
      <c r="S285" s="0" t="str">
        <f aca="false">IFERROR(CONCATENATE((INDEX($A$7:$A$165,SMALL(IF($T$7:$T$165&lt;&gt;"",IF($Q$7:$Q$165&lt;&gt;"",ROW($Q$7:$Q$165)-MIN(ROW($Q$7:$Q$165))+1,""),""),ROW()-ROW(A$167)+1))),),"")</f>
        <v/>
      </c>
      <c r="W285" s="0" t="str">
        <f aca="false">IFERROR(CONCATENATE((INDEX($Z$7:$Z$165,SMALL(IF($Z$7:$Z$165&lt;&gt;"",IF($W$7:$W$165&lt;&gt;"",ROW($W$7:$W$165)-MIN(ROW($W$7:$W$165))+1,""),""),ROW()-ROW(A$167)+1))),","),"")</f>
        <v/>
      </c>
      <c r="X285" s="0" t="str">
        <f aca="false">IFERROR(CONCATENATE(TEXT(INDEX($W$7:$W$165,SMALL(IF($Z$7:$Z$165&lt;&gt;"",IF($W$7:$W$165&lt;&gt;"",ROW($W$7:$W$165)-MIN(ROW($W$7:$W$165))+1,""),""),ROW()-ROW(A$167)+1)),"##0"),","),"")</f>
        <v/>
      </c>
      <c r="Y285" s="0" t="str">
        <f aca="false">IFERROR(CONCATENATE((INDEX($A$7:$A$165,SMALL(IF($Z$7:$Z$165&lt;&gt;"",IF($W$7:$W$165&lt;&gt;"",ROW($W$7:$W$165)-MIN(ROW($W$7:$W$165))+1,""),""),ROW()-ROW(A$167)+1))),),"")</f>
        <v/>
      </c>
    </row>
    <row r="286" customFormat="false" ht="13.8" hidden="false" customHeight="false" outlineLevel="0" collapsed="false">
      <c r="K286" s="0" t="str">
        <f aca="false">IFERROR(CONCATENATE(TEXT(INDEX($K$7:$K$165,SMALL(IF($N$7:$N$165&lt;&gt;"",IF($K$7:$K$165&lt;&gt;"",ROW($K$7:$K$165)-MIN(ROW($K$7:$K$165))+1,""),""),ROW()-ROW(A$167)+1)),"##0"),","),"")</f>
        <v/>
      </c>
      <c r="L286" s="0" t="str">
        <f aca="false">IFERROR(CONCATENATE((INDEX($N$7:$N$165,SMALL(IF($N$7:$N$165&lt;&gt;"",IF($K$7:$K$165&lt;&gt;"",ROW($K$7:$K$165)-MIN(ROW($K$7:$K$165))+1,""),""),ROW()-ROW(A$167)+1))),","),"")</f>
        <v/>
      </c>
      <c r="M286" s="0" t="str">
        <f aca="false">IFERROR(CONCATENATE((INDEX($A$7:$A$165,SMALL(IF($N$7:$N$165&lt;&gt;"",IF($K$7:$K$165&lt;&gt;"",ROW($K$7:$K$165)-MIN(ROW($K$7:$K$165))+1,""),""),ROW()-ROW(A$167)+1))),),"")</f>
        <v/>
      </c>
      <c r="Q286" s="0" t="str">
        <f aca="false">IFERROR(CONCATENATE((INDEX($T$7:$T$165,SMALL(IF($T$7:$T$165&lt;&gt;"",IF($Q$7:$Q$165&lt;&gt;"",ROW($Q$7:$Q$165)-MIN(ROW($Q$7:$Q$165))+1,""),""),ROW()-ROW(A$167)+1)))," "),"")</f>
        <v/>
      </c>
      <c r="R286" s="0" t="str">
        <f aca="false">IFERROR(CONCATENATE(TEXT(INDEX($Q$7:$Q$165,SMALL(IF($T$7:$T$165&lt;&gt;"",IF($Q$7:$Q$165&lt;&gt;"",ROW($Q$7:$Q$165)-MIN(ROW($Q$7:$Q$165))+1,""),""),ROW()-ROW(A$167)+1)),"##0")," "),"")</f>
        <v/>
      </c>
      <c r="S286" s="0" t="str">
        <f aca="false">IFERROR(CONCATENATE((INDEX($A$7:$A$165,SMALL(IF($T$7:$T$165&lt;&gt;"",IF($Q$7:$Q$165&lt;&gt;"",ROW($Q$7:$Q$165)-MIN(ROW($Q$7:$Q$165))+1,""),""),ROW()-ROW(A$167)+1))),),"")</f>
        <v/>
      </c>
      <c r="W286" s="0" t="str">
        <f aca="false">IFERROR(CONCATENATE((INDEX($Z$7:$Z$165,SMALL(IF($Z$7:$Z$165&lt;&gt;"",IF($W$7:$W$165&lt;&gt;"",ROW($W$7:$W$165)-MIN(ROW($W$7:$W$165))+1,""),""),ROW()-ROW(A$167)+1))),","),"")</f>
        <v/>
      </c>
      <c r="X286" s="0" t="str">
        <f aca="false">IFERROR(CONCATENATE(TEXT(INDEX($W$7:$W$165,SMALL(IF($Z$7:$Z$165&lt;&gt;"",IF($W$7:$W$165&lt;&gt;"",ROW($W$7:$W$165)-MIN(ROW($W$7:$W$165))+1,""),""),ROW()-ROW(A$167)+1)),"##0"),","),"")</f>
        <v/>
      </c>
      <c r="Y286" s="0" t="str">
        <f aca="false">IFERROR(CONCATENATE((INDEX($A$7:$A$165,SMALL(IF($Z$7:$Z$165&lt;&gt;"",IF($W$7:$W$165&lt;&gt;"",ROW($W$7:$W$165)-MIN(ROW($W$7:$W$165))+1,""),""),ROW()-ROW(A$167)+1))),),"")</f>
        <v/>
      </c>
    </row>
    <row r="287" customFormat="false" ht="13.8" hidden="false" customHeight="false" outlineLevel="0" collapsed="false">
      <c r="K287" s="0" t="str">
        <f aca="false">IFERROR(CONCATENATE(TEXT(INDEX($K$7:$K$165,SMALL(IF($N$7:$N$165&lt;&gt;"",IF($K$7:$K$165&lt;&gt;"",ROW($K$7:$K$165)-MIN(ROW($K$7:$K$165))+1,""),""),ROW()-ROW(A$167)+1)),"##0"),","),"")</f>
        <v/>
      </c>
      <c r="L287" s="0" t="str">
        <f aca="false">IFERROR(CONCATENATE((INDEX($N$7:$N$165,SMALL(IF($N$7:$N$165&lt;&gt;"",IF($K$7:$K$165&lt;&gt;"",ROW($K$7:$K$165)-MIN(ROW($K$7:$K$165))+1,""),""),ROW()-ROW(A$167)+1))),","),"")</f>
        <v/>
      </c>
      <c r="M287" s="0" t="str">
        <f aca="false">IFERROR(CONCATENATE((INDEX($A$7:$A$165,SMALL(IF($N$7:$N$165&lt;&gt;"",IF($K$7:$K$165&lt;&gt;"",ROW($K$7:$K$165)-MIN(ROW($K$7:$K$165))+1,""),""),ROW()-ROW(A$167)+1))),),"")</f>
        <v/>
      </c>
      <c r="Q287" s="0" t="str">
        <f aca="false">IFERROR(CONCATENATE((INDEX($T$7:$T$165,SMALL(IF($T$7:$T$165&lt;&gt;"",IF($Q$7:$Q$165&lt;&gt;"",ROW($Q$7:$Q$165)-MIN(ROW($Q$7:$Q$165))+1,""),""),ROW()-ROW(A$167)+1)))," "),"")</f>
        <v/>
      </c>
      <c r="R287" s="0" t="str">
        <f aca="false">IFERROR(CONCATENATE(TEXT(INDEX($Q$7:$Q$165,SMALL(IF($T$7:$T$165&lt;&gt;"",IF($Q$7:$Q$165&lt;&gt;"",ROW($Q$7:$Q$165)-MIN(ROW($Q$7:$Q$165))+1,""),""),ROW()-ROW(A$167)+1)),"##0")," "),"")</f>
        <v/>
      </c>
      <c r="S287" s="0" t="str">
        <f aca="false">IFERROR(CONCATENATE((INDEX($A$7:$A$165,SMALL(IF($T$7:$T$165&lt;&gt;"",IF($Q$7:$Q$165&lt;&gt;"",ROW($Q$7:$Q$165)-MIN(ROW($Q$7:$Q$165))+1,""),""),ROW()-ROW(A$167)+1))),),"")</f>
        <v/>
      </c>
      <c r="W287" s="0" t="str">
        <f aca="false">IFERROR(CONCATENATE((INDEX($Z$7:$Z$165,SMALL(IF($Z$7:$Z$165&lt;&gt;"",IF($W$7:$W$165&lt;&gt;"",ROW($W$7:$W$165)-MIN(ROW($W$7:$W$165))+1,""),""),ROW()-ROW(A$167)+1))),","),"")</f>
        <v/>
      </c>
      <c r="X287" s="0" t="str">
        <f aca="false">IFERROR(CONCATENATE(TEXT(INDEX($W$7:$W$165,SMALL(IF($Z$7:$Z$165&lt;&gt;"",IF($W$7:$W$165&lt;&gt;"",ROW($W$7:$W$165)-MIN(ROW($W$7:$W$165))+1,""),""),ROW()-ROW(A$167)+1)),"##0"),","),"")</f>
        <v/>
      </c>
      <c r="Y287" s="0" t="str">
        <f aca="false">IFERROR(CONCATENATE((INDEX($A$7:$A$165,SMALL(IF($Z$7:$Z$165&lt;&gt;"",IF($W$7:$W$165&lt;&gt;"",ROW($W$7:$W$165)-MIN(ROW($W$7:$W$165))+1,""),""),ROW()-ROW(A$167)+1))),),"")</f>
        <v/>
      </c>
    </row>
    <row r="288" customFormat="false" ht="13.8" hidden="false" customHeight="false" outlineLevel="0" collapsed="false">
      <c r="K288" s="0" t="str">
        <f aca="false">IFERROR(CONCATENATE(TEXT(INDEX($K$7:$K$165,SMALL(IF($N$7:$N$165&lt;&gt;"",IF($K$7:$K$165&lt;&gt;"",ROW($K$7:$K$165)-MIN(ROW($K$7:$K$165))+1,""),""),ROW()-ROW(A$167)+1)),"##0"),","),"")</f>
        <v/>
      </c>
      <c r="L288" s="0" t="str">
        <f aca="false">IFERROR(CONCATENATE((INDEX($N$7:$N$165,SMALL(IF($N$7:$N$165&lt;&gt;"",IF($K$7:$K$165&lt;&gt;"",ROW($K$7:$K$165)-MIN(ROW($K$7:$K$165))+1,""),""),ROW()-ROW(A$167)+1))),","),"")</f>
        <v/>
      </c>
      <c r="M288" s="0" t="str">
        <f aca="false">IFERROR(CONCATENATE((INDEX($A$7:$A$165,SMALL(IF($N$7:$N$165&lt;&gt;"",IF($K$7:$K$165&lt;&gt;"",ROW($K$7:$K$165)-MIN(ROW($K$7:$K$165))+1,""),""),ROW()-ROW(A$167)+1))),),"")</f>
        <v/>
      </c>
      <c r="Q288" s="0" t="str">
        <f aca="false">IFERROR(CONCATENATE((INDEX($T$7:$T$165,SMALL(IF($T$7:$T$165&lt;&gt;"",IF($Q$7:$Q$165&lt;&gt;"",ROW($Q$7:$Q$165)-MIN(ROW($Q$7:$Q$165))+1,""),""),ROW()-ROW(A$167)+1)))," "),"")</f>
        <v/>
      </c>
      <c r="R288" s="0" t="str">
        <f aca="false">IFERROR(CONCATENATE(TEXT(INDEX($Q$7:$Q$165,SMALL(IF($T$7:$T$165&lt;&gt;"",IF($Q$7:$Q$165&lt;&gt;"",ROW($Q$7:$Q$165)-MIN(ROW($Q$7:$Q$165))+1,""),""),ROW()-ROW(A$167)+1)),"##0")," "),"")</f>
        <v/>
      </c>
      <c r="S288" s="0" t="str">
        <f aca="false">IFERROR(CONCATENATE((INDEX($A$7:$A$165,SMALL(IF($T$7:$T$165&lt;&gt;"",IF($Q$7:$Q$165&lt;&gt;"",ROW($Q$7:$Q$165)-MIN(ROW($Q$7:$Q$165))+1,""),""),ROW()-ROW(A$167)+1))),),"")</f>
        <v/>
      </c>
      <c r="W288" s="0" t="str">
        <f aca="false">IFERROR(CONCATENATE((INDEX($Z$7:$Z$165,SMALL(IF($Z$7:$Z$165&lt;&gt;"",IF($W$7:$W$165&lt;&gt;"",ROW($W$7:$W$165)-MIN(ROW($W$7:$W$165))+1,""),""),ROW()-ROW(A$167)+1))),","),"")</f>
        <v/>
      </c>
      <c r="X288" s="0" t="str">
        <f aca="false">IFERROR(CONCATENATE(TEXT(INDEX($W$7:$W$165,SMALL(IF($Z$7:$Z$165&lt;&gt;"",IF($W$7:$W$165&lt;&gt;"",ROW($W$7:$W$165)-MIN(ROW($W$7:$W$165))+1,""),""),ROW()-ROW(A$167)+1)),"##0"),","),"")</f>
        <v/>
      </c>
      <c r="Y288" s="0" t="str">
        <f aca="false">IFERROR(CONCATENATE((INDEX($A$7:$A$165,SMALL(IF($Z$7:$Z$165&lt;&gt;"",IF($W$7:$W$165&lt;&gt;"",ROW($W$7:$W$165)-MIN(ROW($W$7:$W$165))+1,""),""),ROW()-ROW(A$167)+1))),),"")</f>
        <v/>
      </c>
    </row>
    <row r="289" customFormat="false" ht="13.8" hidden="false" customHeight="false" outlineLevel="0" collapsed="false">
      <c r="K289" s="0" t="str">
        <f aca="false">IFERROR(CONCATENATE(TEXT(INDEX($K$7:$K$165,SMALL(IF($N$7:$N$165&lt;&gt;"",IF($K$7:$K$165&lt;&gt;"",ROW($K$7:$K$165)-MIN(ROW($K$7:$K$165))+1,""),""),ROW()-ROW(A$167)+1)),"##0"),","),"")</f>
        <v/>
      </c>
      <c r="L289" s="0" t="str">
        <f aca="false">IFERROR(CONCATENATE((INDEX($N$7:$N$165,SMALL(IF($N$7:$N$165&lt;&gt;"",IF($K$7:$K$165&lt;&gt;"",ROW($K$7:$K$165)-MIN(ROW($K$7:$K$165))+1,""),""),ROW()-ROW(A$167)+1))),","),"")</f>
        <v/>
      </c>
      <c r="M289" s="0" t="str">
        <f aca="false">IFERROR(CONCATENATE((INDEX($A$7:$A$165,SMALL(IF($N$7:$N$165&lt;&gt;"",IF($K$7:$K$165&lt;&gt;"",ROW($K$7:$K$165)-MIN(ROW($K$7:$K$165))+1,""),""),ROW()-ROW(A$167)+1))),),"")</f>
        <v/>
      </c>
      <c r="Q289" s="0" t="str">
        <f aca="false">IFERROR(CONCATENATE((INDEX($T$7:$T$165,SMALL(IF($T$7:$T$165&lt;&gt;"",IF($Q$7:$Q$165&lt;&gt;"",ROW($Q$7:$Q$165)-MIN(ROW($Q$7:$Q$165))+1,""),""),ROW()-ROW(A$167)+1)))," "),"")</f>
        <v/>
      </c>
      <c r="R289" s="0" t="str">
        <f aca="false">IFERROR(CONCATENATE(TEXT(INDEX($Q$7:$Q$165,SMALL(IF($T$7:$T$165&lt;&gt;"",IF($Q$7:$Q$165&lt;&gt;"",ROW($Q$7:$Q$165)-MIN(ROW($Q$7:$Q$165))+1,""),""),ROW()-ROW(A$167)+1)),"##0")," "),"")</f>
        <v/>
      </c>
      <c r="S289" s="0" t="str">
        <f aca="false">IFERROR(CONCATENATE((INDEX($A$7:$A$165,SMALL(IF($T$7:$T$165&lt;&gt;"",IF($Q$7:$Q$165&lt;&gt;"",ROW($Q$7:$Q$165)-MIN(ROW($Q$7:$Q$165))+1,""),""),ROW()-ROW(A$167)+1))),),"")</f>
        <v/>
      </c>
      <c r="W289" s="0" t="str">
        <f aca="false">IFERROR(CONCATENATE((INDEX($Z$7:$Z$165,SMALL(IF($Z$7:$Z$165&lt;&gt;"",IF($W$7:$W$165&lt;&gt;"",ROW($W$7:$W$165)-MIN(ROW($W$7:$W$165))+1,""),""),ROW()-ROW(A$167)+1))),","),"")</f>
        <v/>
      </c>
      <c r="X289" s="0" t="str">
        <f aca="false">IFERROR(CONCATENATE(TEXT(INDEX($W$7:$W$165,SMALL(IF($Z$7:$Z$165&lt;&gt;"",IF($W$7:$W$165&lt;&gt;"",ROW($W$7:$W$165)-MIN(ROW($W$7:$W$165))+1,""),""),ROW()-ROW(A$167)+1)),"##0"),","),"")</f>
        <v/>
      </c>
      <c r="Y289" s="0" t="str">
        <f aca="false">IFERROR(CONCATENATE((INDEX($A$7:$A$165,SMALL(IF($Z$7:$Z$165&lt;&gt;"",IF($W$7:$W$165&lt;&gt;"",ROW($W$7:$W$165)-MIN(ROW($W$7:$W$165))+1,""),""),ROW()-ROW(A$167)+1))),),"")</f>
        <v/>
      </c>
    </row>
    <row r="290" customFormat="false" ht="13.8" hidden="false" customHeight="false" outlineLevel="0" collapsed="false">
      <c r="K290" s="0" t="str">
        <f aca="false">IFERROR(CONCATENATE(TEXT(INDEX($K$7:$K$165,SMALL(IF($N$7:$N$165&lt;&gt;"",IF($K$7:$K$165&lt;&gt;"",ROW($K$7:$K$165)-MIN(ROW($K$7:$K$165))+1,""),""),ROW()-ROW(A$167)+1)),"##0"),","),"")</f>
        <v/>
      </c>
      <c r="L290" s="0" t="str">
        <f aca="false">IFERROR(CONCATENATE((INDEX($N$7:$N$165,SMALL(IF($N$7:$N$165&lt;&gt;"",IF($K$7:$K$165&lt;&gt;"",ROW($K$7:$K$165)-MIN(ROW($K$7:$K$165))+1,""),""),ROW()-ROW(A$167)+1))),","),"")</f>
        <v/>
      </c>
      <c r="M290" s="0" t="str">
        <f aca="false">IFERROR(CONCATENATE((INDEX($A$7:$A$165,SMALL(IF($N$7:$N$165&lt;&gt;"",IF($K$7:$K$165&lt;&gt;"",ROW($K$7:$K$165)-MIN(ROW($K$7:$K$165))+1,""),""),ROW()-ROW(A$167)+1))),),"")</f>
        <v/>
      </c>
      <c r="Q290" s="0" t="str">
        <f aca="false">IFERROR(CONCATENATE((INDEX($T$7:$T$165,SMALL(IF($T$7:$T$165&lt;&gt;"",IF($Q$7:$Q$165&lt;&gt;"",ROW($Q$7:$Q$165)-MIN(ROW($Q$7:$Q$165))+1,""),""),ROW()-ROW(A$167)+1)))," "),"")</f>
        <v/>
      </c>
      <c r="R290" s="0" t="str">
        <f aca="false">IFERROR(CONCATENATE(TEXT(INDEX($Q$7:$Q$165,SMALL(IF($T$7:$T$165&lt;&gt;"",IF($Q$7:$Q$165&lt;&gt;"",ROW($Q$7:$Q$165)-MIN(ROW($Q$7:$Q$165))+1,""),""),ROW()-ROW(A$167)+1)),"##0")," "),"")</f>
        <v/>
      </c>
      <c r="S290" s="0" t="str">
        <f aca="false">IFERROR(CONCATENATE((INDEX($A$7:$A$165,SMALL(IF($T$7:$T$165&lt;&gt;"",IF($Q$7:$Q$165&lt;&gt;"",ROW($Q$7:$Q$165)-MIN(ROW($Q$7:$Q$165))+1,""),""),ROW()-ROW(A$167)+1))),),"")</f>
        <v/>
      </c>
      <c r="W290" s="0" t="str">
        <f aca="false">IFERROR(CONCATENATE((INDEX($Z$7:$Z$165,SMALL(IF($Z$7:$Z$165&lt;&gt;"",IF($W$7:$W$165&lt;&gt;"",ROW($W$7:$W$165)-MIN(ROW($W$7:$W$165))+1,""),""),ROW()-ROW(A$167)+1))),","),"")</f>
        <v/>
      </c>
      <c r="X290" s="0" t="str">
        <f aca="false">IFERROR(CONCATENATE(TEXT(INDEX($W$7:$W$165,SMALL(IF($Z$7:$Z$165&lt;&gt;"",IF($W$7:$W$165&lt;&gt;"",ROW($W$7:$W$165)-MIN(ROW($W$7:$W$165))+1,""),""),ROW()-ROW(A$167)+1)),"##0"),","),"")</f>
        <v/>
      </c>
      <c r="Y290" s="0" t="str">
        <f aca="false">IFERROR(CONCATENATE((INDEX($A$7:$A$165,SMALL(IF($Z$7:$Z$165&lt;&gt;"",IF($W$7:$W$165&lt;&gt;"",ROW($W$7:$W$165)-MIN(ROW($W$7:$W$165))+1,""),""),ROW()-ROW(A$167)+1))),),"")</f>
        <v/>
      </c>
    </row>
    <row r="291" customFormat="false" ht="13.8" hidden="false" customHeight="false" outlineLevel="0" collapsed="false">
      <c r="K291" s="0" t="str">
        <f aca="false">IFERROR(CONCATENATE(TEXT(INDEX($K$7:$K$165,SMALL(IF($N$7:$N$165&lt;&gt;"",IF($K$7:$K$165&lt;&gt;"",ROW($K$7:$K$165)-MIN(ROW($K$7:$K$165))+1,""),""),ROW()-ROW(A$167)+1)),"##0"),","),"")</f>
        <v/>
      </c>
      <c r="L291" s="0" t="str">
        <f aca="false">IFERROR(CONCATENATE((INDEX($N$7:$N$165,SMALL(IF($N$7:$N$165&lt;&gt;"",IF($K$7:$K$165&lt;&gt;"",ROW($K$7:$K$165)-MIN(ROW($K$7:$K$165))+1,""),""),ROW()-ROW(A$167)+1))),","),"")</f>
        <v/>
      </c>
      <c r="M291" s="0" t="str">
        <f aca="false">IFERROR(CONCATENATE((INDEX($A$7:$A$165,SMALL(IF($N$7:$N$165&lt;&gt;"",IF($K$7:$K$165&lt;&gt;"",ROW($K$7:$K$165)-MIN(ROW($K$7:$K$165))+1,""),""),ROW()-ROW(A$167)+1))),),"")</f>
        <v/>
      </c>
      <c r="Q291" s="0" t="str">
        <f aca="false">IFERROR(CONCATENATE((INDEX($T$7:$T$165,SMALL(IF($T$7:$T$165&lt;&gt;"",IF($Q$7:$Q$165&lt;&gt;"",ROW($Q$7:$Q$165)-MIN(ROW($Q$7:$Q$165))+1,""),""),ROW()-ROW(A$167)+1)))," "),"")</f>
        <v/>
      </c>
      <c r="R291" s="0" t="str">
        <f aca="false">IFERROR(CONCATENATE(TEXT(INDEX($Q$7:$Q$165,SMALL(IF($T$7:$T$165&lt;&gt;"",IF($Q$7:$Q$165&lt;&gt;"",ROW($Q$7:$Q$165)-MIN(ROW($Q$7:$Q$165))+1,""),""),ROW()-ROW(A$167)+1)),"##0")," "),"")</f>
        <v/>
      </c>
      <c r="S291" s="0" t="str">
        <f aca="false">IFERROR(CONCATENATE((INDEX($A$7:$A$165,SMALL(IF($T$7:$T$165&lt;&gt;"",IF($Q$7:$Q$165&lt;&gt;"",ROW($Q$7:$Q$165)-MIN(ROW($Q$7:$Q$165))+1,""),""),ROW()-ROW(A$167)+1))),),"")</f>
        <v/>
      </c>
      <c r="W291" s="0" t="str">
        <f aca="false">IFERROR(CONCATENATE((INDEX($Z$7:$Z$165,SMALL(IF($Z$7:$Z$165&lt;&gt;"",IF($W$7:$W$165&lt;&gt;"",ROW($W$7:$W$165)-MIN(ROW($W$7:$W$165))+1,""),""),ROW()-ROW(A$167)+1))),","),"")</f>
        <v/>
      </c>
      <c r="X291" s="0" t="str">
        <f aca="false">IFERROR(CONCATENATE(TEXT(INDEX($W$7:$W$165,SMALL(IF($Z$7:$Z$165&lt;&gt;"",IF($W$7:$W$165&lt;&gt;"",ROW($W$7:$W$165)-MIN(ROW($W$7:$W$165))+1,""),""),ROW()-ROW(A$167)+1)),"##0"),","),"")</f>
        <v/>
      </c>
      <c r="Y291" s="0" t="str">
        <f aca="false">IFERROR(CONCATENATE((INDEX($A$7:$A$165,SMALL(IF($Z$7:$Z$165&lt;&gt;"",IF($W$7:$W$165&lt;&gt;"",ROW($W$7:$W$165)-MIN(ROW($W$7:$W$165))+1,""),""),ROW()-ROW(A$167)+1))),),"")</f>
        <v/>
      </c>
    </row>
    <row r="292" customFormat="false" ht="13.8" hidden="false" customHeight="false" outlineLevel="0" collapsed="false">
      <c r="K292" s="0" t="str">
        <f aca="false">IFERROR(CONCATENATE(TEXT(INDEX($K$7:$K$165,SMALL(IF($N$7:$N$165&lt;&gt;"",IF($K$7:$K$165&lt;&gt;"",ROW($K$7:$K$165)-MIN(ROW($K$7:$K$165))+1,""),""),ROW()-ROW(A$167)+1)),"##0"),","),"")</f>
        <v/>
      </c>
      <c r="L292" s="0" t="str">
        <f aca="false">IFERROR(CONCATENATE((INDEX($N$7:$N$165,SMALL(IF($N$7:$N$165&lt;&gt;"",IF($K$7:$K$165&lt;&gt;"",ROW($K$7:$K$165)-MIN(ROW($K$7:$K$165))+1,""),""),ROW()-ROW(A$167)+1))),","),"")</f>
        <v/>
      </c>
      <c r="M292" s="0" t="str">
        <f aca="false">IFERROR(CONCATENATE((INDEX($A$7:$A$165,SMALL(IF($N$7:$N$165&lt;&gt;"",IF($K$7:$K$165&lt;&gt;"",ROW($K$7:$K$165)-MIN(ROW($K$7:$K$165))+1,""),""),ROW()-ROW(A$167)+1))),),"")</f>
        <v/>
      </c>
      <c r="Q292" s="0" t="str">
        <f aca="false">IFERROR(CONCATENATE((INDEX($T$7:$T$165,SMALL(IF($T$7:$T$165&lt;&gt;"",IF($Q$7:$Q$165&lt;&gt;"",ROW($Q$7:$Q$165)-MIN(ROW($Q$7:$Q$165))+1,""),""),ROW()-ROW(A$167)+1)))," "),"")</f>
        <v/>
      </c>
      <c r="R292" s="0" t="str">
        <f aca="false">IFERROR(CONCATENATE(TEXT(INDEX($Q$7:$Q$165,SMALL(IF($T$7:$T$165&lt;&gt;"",IF($Q$7:$Q$165&lt;&gt;"",ROW($Q$7:$Q$165)-MIN(ROW($Q$7:$Q$165))+1,""),""),ROW()-ROW(A$167)+1)),"##0")," "),"")</f>
        <v/>
      </c>
      <c r="S292" s="0" t="str">
        <f aca="false">IFERROR(CONCATENATE((INDEX($A$7:$A$165,SMALL(IF($T$7:$T$165&lt;&gt;"",IF($Q$7:$Q$165&lt;&gt;"",ROW($Q$7:$Q$165)-MIN(ROW($Q$7:$Q$165))+1,""),""),ROW()-ROW(A$167)+1))),),"")</f>
        <v/>
      </c>
      <c r="W292" s="0" t="str">
        <f aca="false">IFERROR(CONCATENATE((INDEX($Z$7:$Z$165,SMALL(IF($Z$7:$Z$165&lt;&gt;"",IF($W$7:$W$165&lt;&gt;"",ROW($W$7:$W$165)-MIN(ROW($W$7:$W$165))+1,""),""),ROW()-ROW(A$167)+1))),","),"")</f>
        <v/>
      </c>
      <c r="X292" s="0" t="str">
        <f aca="false">IFERROR(CONCATENATE(TEXT(INDEX($W$7:$W$165,SMALL(IF($Z$7:$Z$165&lt;&gt;"",IF($W$7:$W$165&lt;&gt;"",ROW($W$7:$W$165)-MIN(ROW($W$7:$W$165))+1,""),""),ROW()-ROW(A$167)+1)),"##0"),","),"")</f>
        <v/>
      </c>
      <c r="Y292" s="0" t="str">
        <f aca="false">IFERROR(CONCATENATE((INDEX($A$7:$A$165,SMALL(IF($Z$7:$Z$165&lt;&gt;"",IF($W$7:$W$165&lt;&gt;"",ROW($W$7:$W$165)-MIN(ROW($W$7:$W$165))+1,""),""),ROW()-ROW(A$167)+1))),),"")</f>
        <v/>
      </c>
    </row>
    <row r="293" customFormat="false" ht="13.8" hidden="false" customHeight="false" outlineLevel="0" collapsed="false">
      <c r="K293" s="0" t="str">
        <f aca="false">IFERROR(CONCATENATE(TEXT(INDEX($K$7:$K$165,SMALL(IF($N$7:$N$165&lt;&gt;"",IF($K$7:$K$165&lt;&gt;"",ROW($K$7:$K$165)-MIN(ROW($K$7:$K$165))+1,""),""),ROW()-ROW(A$167)+1)),"##0"),","),"")</f>
        <v/>
      </c>
      <c r="L293" s="0" t="str">
        <f aca="false">IFERROR(CONCATENATE((INDEX($N$7:$N$165,SMALL(IF($N$7:$N$165&lt;&gt;"",IF($K$7:$K$165&lt;&gt;"",ROW($K$7:$K$165)-MIN(ROW($K$7:$K$165))+1,""),""),ROW()-ROW(A$167)+1))),","),"")</f>
        <v/>
      </c>
      <c r="M293" s="0" t="str">
        <f aca="false">IFERROR(CONCATENATE((INDEX($A$7:$A$165,SMALL(IF($N$7:$N$165&lt;&gt;"",IF($K$7:$K$165&lt;&gt;"",ROW($K$7:$K$165)-MIN(ROW($K$7:$K$165))+1,""),""),ROW()-ROW(A$167)+1))),),"")</f>
        <v/>
      </c>
      <c r="Q293" s="0" t="str">
        <f aca="false">IFERROR(CONCATENATE((INDEX($T$7:$T$165,SMALL(IF($T$7:$T$165&lt;&gt;"",IF($Q$7:$Q$165&lt;&gt;"",ROW($Q$7:$Q$165)-MIN(ROW($Q$7:$Q$165))+1,""),""),ROW()-ROW(A$167)+1)))," "),"")</f>
        <v/>
      </c>
      <c r="R293" s="0" t="str">
        <f aca="false">IFERROR(CONCATENATE(TEXT(INDEX($Q$7:$Q$165,SMALL(IF($T$7:$T$165&lt;&gt;"",IF($Q$7:$Q$165&lt;&gt;"",ROW($Q$7:$Q$165)-MIN(ROW($Q$7:$Q$165))+1,""),""),ROW()-ROW(A$167)+1)),"##0")," "),"")</f>
        <v/>
      </c>
      <c r="S293" s="0" t="str">
        <f aca="false">IFERROR(CONCATENATE((INDEX($A$7:$A$165,SMALL(IF($T$7:$T$165&lt;&gt;"",IF($Q$7:$Q$165&lt;&gt;"",ROW($Q$7:$Q$165)-MIN(ROW($Q$7:$Q$165))+1,""),""),ROW()-ROW(A$167)+1))),),"")</f>
        <v/>
      </c>
      <c r="W293" s="0" t="str">
        <f aca="false">IFERROR(CONCATENATE((INDEX($Z$7:$Z$165,SMALL(IF($Z$7:$Z$165&lt;&gt;"",IF($W$7:$W$165&lt;&gt;"",ROW($W$7:$W$165)-MIN(ROW($W$7:$W$165))+1,""),""),ROW()-ROW(A$167)+1))),","),"")</f>
        <v/>
      </c>
      <c r="X293" s="0" t="str">
        <f aca="false">IFERROR(CONCATENATE(TEXT(INDEX($W$7:$W$165,SMALL(IF($Z$7:$Z$165&lt;&gt;"",IF($W$7:$W$165&lt;&gt;"",ROW($W$7:$W$165)-MIN(ROW($W$7:$W$165))+1,""),""),ROW()-ROW(A$167)+1)),"##0"),","),"")</f>
        <v/>
      </c>
      <c r="Y293" s="0" t="str">
        <f aca="false">IFERROR(CONCATENATE((INDEX($A$7:$A$165,SMALL(IF($Z$7:$Z$165&lt;&gt;"",IF($W$7:$W$165&lt;&gt;"",ROW($W$7:$W$165)-MIN(ROW($W$7:$W$165))+1,""),""),ROW()-ROW(A$167)+1))),),"")</f>
        <v/>
      </c>
    </row>
    <row r="294" customFormat="false" ht="13.8" hidden="false" customHeight="false" outlineLevel="0" collapsed="false">
      <c r="K294" s="0" t="str">
        <f aca="false">IFERROR(CONCATENATE(TEXT(INDEX($K$7:$K$165,SMALL(IF($N$7:$N$165&lt;&gt;"",IF($K$7:$K$165&lt;&gt;"",ROW($K$7:$K$165)-MIN(ROW($K$7:$K$165))+1,""),""),ROW()-ROW(A$167)+1)),"##0"),","),"")</f>
        <v/>
      </c>
      <c r="L294" s="0" t="str">
        <f aca="false">IFERROR(CONCATENATE((INDEX($N$7:$N$165,SMALL(IF($N$7:$N$165&lt;&gt;"",IF($K$7:$K$165&lt;&gt;"",ROW($K$7:$K$165)-MIN(ROW($K$7:$K$165))+1,""),""),ROW()-ROW(A$167)+1))),","),"")</f>
        <v/>
      </c>
      <c r="M294" s="0" t="str">
        <f aca="false">IFERROR(CONCATENATE((INDEX($A$7:$A$165,SMALL(IF($N$7:$N$165&lt;&gt;"",IF($K$7:$K$165&lt;&gt;"",ROW($K$7:$K$165)-MIN(ROW($K$7:$K$165))+1,""),""),ROW()-ROW(A$167)+1))),),"")</f>
        <v/>
      </c>
      <c r="Q294" s="0" t="str">
        <f aca="false">IFERROR(CONCATENATE((INDEX($T$7:$T$165,SMALL(IF($T$7:$T$165&lt;&gt;"",IF($Q$7:$Q$165&lt;&gt;"",ROW($Q$7:$Q$165)-MIN(ROW($Q$7:$Q$165))+1,""),""),ROW()-ROW(A$167)+1)))," "),"")</f>
        <v/>
      </c>
      <c r="R294" s="0" t="str">
        <f aca="false">IFERROR(CONCATENATE(TEXT(INDEX($Q$7:$Q$165,SMALL(IF($T$7:$T$165&lt;&gt;"",IF($Q$7:$Q$165&lt;&gt;"",ROW($Q$7:$Q$165)-MIN(ROW($Q$7:$Q$165))+1,""),""),ROW()-ROW(A$167)+1)),"##0")," "),"")</f>
        <v/>
      </c>
      <c r="S294" s="0" t="str">
        <f aca="false">IFERROR(CONCATENATE((INDEX($A$7:$A$165,SMALL(IF($T$7:$T$165&lt;&gt;"",IF($Q$7:$Q$165&lt;&gt;"",ROW($Q$7:$Q$165)-MIN(ROW($Q$7:$Q$165))+1,""),""),ROW()-ROW(A$167)+1))),),"")</f>
        <v/>
      </c>
      <c r="W294" s="0" t="str">
        <f aca="false">IFERROR(CONCATENATE((INDEX($Z$7:$Z$165,SMALL(IF($Z$7:$Z$165&lt;&gt;"",IF($W$7:$W$165&lt;&gt;"",ROW($W$7:$W$165)-MIN(ROW($W$7:$W$165))+1,""),""),ROW()-ROW(A$167)+1))),","),"")</f>
        <v/>
      </c>
      <c r="X294" s="0" t="str">
        <f aca="false">IFERROR(CONCATENATE(TEXT(INDEX($W$7:$W$165,SMALL(IF($Z$7:$Z$165&lt;&gt;"",IF($W$7:$W$165&lt;&gt;"",ROW($W$7:$W$165)-MIN(ROW($W$7:$W$165))+1,""),""),ROW()-ROW(A$167)+1)),"##0"),","),"")</f>
        <v/>
      </c>
      <c r="Y294" s="0" t="str">
        <f aca="false">IFERROR(CONCATENATE((INDEX($A$7:$A$165,SMALL(IF($Z$7:$Z$165&lt;&gt;"",IF($W$7:$W$165&lt;&gt;"",ROW($W$7:$W$165)-MIN(ROW($W$7:$W$165))+1,""),""),ROW()-ROW(A$167)+1))),),"")</f>
        <v/>
      </c>
    </row>
    <row r="295" customFormat="false" ht="13.8" hidden="false" customHeight="false" outlineLevel="0" collapsed="false">
      <c r="K295" s="0" t="str">
        <f aca="false">IFERROR(CONCATENATE(TEXT(INDEX($K$7:$K$165,SMALL(IF($N$7:$N$165&lt;&gt;"",IF($K$7:$K$165&lt;&gt;"",ROW($K$7:$K$165)-MIN(ROW($K$7:$K$165))+1,""),""),ROW()-ROW(A$167)+1)),"##0"),","),"")</f>
        <v/>
      </c>
      <c r="L295" s="0" t="str">
        <f aca="false">IFERROR(CONCATENATE((INDEX($N$7:$N$165,SMALL(IF($N$7:$N$165&lt;&gt;"",IF($K$7:$K$165&lt;&gt;"",ROW($K$7:$K$165)-MIN(ROW($K$7:$K$165))+1,""),""),ROW()-ROW(A$167)+1))),","),"")</f>
        <v/>
      </c>
      <c r="M295" s="0" t="str">
        <f aca="false">IFERROR(CONCATENATE((INDEX($A$7:$A$165,SMALL(IF($N$7:$N$165&lt;&gt;"",IF($K$7:$K$165&lt;&gt;"",ROW($K$7:$K$165)-MIN(ROW($K$7:$K$165))+1,""),""),ROW()-ROW(A$167)+1))),),"")</f>
        <v/>
      </c>
      <c r="Q295" s="0" t="str">
        <f aca="false">IFERROR(CONCATENATE((INDEX($T$7:$T$165,SMALL(IF($T$7:$T$165&lt;&gt;"",IF($Q$7:$Q$165&lt;&gt;"",ROW($Q$7:$Q$165)-MIN(ROW($Q$7:$Q$165))+1,""),""),ROW()-ROW(A$167)+1)))," "),"")</f>
        <v/>
      </c>
      <c r="R295" s="0" t="str">
        <f aca="false">IFERROR(CONCATENATE(TEXT(INDEX($Q$7:$Q$165,SMALL(IF($T$7:$T$165&lt;&gt;"",IF($Q$7:$Q$165&lt;&gt;"",ROW($Q$7:$Q$165)-MIN(ROW($Q$7:$Q$165))+1,""),""),ROW()-ROW(A$167)+1)),"##0")," "),"")</f>
        <v/>
      </c>
      <c r="S295" s="0" t="str">
        <f aca="false">IFERROR(CONCATENATE((INDEX($A$7:$A$165,SMALL(IF($T$7:$T$165&lt;&gt;"",IF($Q$7:$Q$165&lt;&gt;"",ROW($Q$7:$Q$165)-MIN(ROW($Q$7:$Q$165))+1,""),""),ROW()-ROW(A$167)+1))),),"")</f>
        <v/>
      </c>
      <c r="W295" s="0" t="str">
        <f aca="false">IFERROR(CONCATENATE((INDEX($Z$7:$Z$165,SMALL(IF($Z$7:$Z$165&lt;&gt;"",IF($W$7:$W$165&lt;&gt;"",ROW($W$7:$W$165)-MIN(ROW($W$7:$W$165))+1,""),""),ROW()-ROW(A$167)+1))),","),"")</f>
        <v/>
      </c>
      <c r="X295" s="0" t="str">
        <f aca="false">IFERROR(CONCATENATE(TEXT(INDEX($W$7:$W$165,SMALL(IF($Z$7:$Z$165&lt;&gt;"",IF($W$7:$W$165&lt;&gt;"",ROW($W$7:$W$165)-MIN(ROW($W$7:$W$165))+1,""),""),ROW()-ROW(A$167)+1)),"##0"),","),"")</f>
        <v/>
      </c>
      <c r="Y295" s="0" t="str">
        <f aca="false">IFERROR(CONCATENATE((INDEX($A$7:$A$165,SMALL(IF($Z$7:$Z$165&lt;&gt;"",IF($W$7:$W$165&lt;&gt;"",ROW($W$7:$W$165)-MIN(ROW($W$7:$W$165))+1,""),""),ROW()-ROW(A$167)+1))),),"")</f>
        <v/>
      </c>
    </row>
    <row r="296" customFormat="false" ht="13.8" hidden="false" customHeight="false" outlineLevel="0" collapsed="false">
      <c r="K296" s="0" t="str">
        <f aca="false">IFERROR(CONCATENATE(TEXT(INDEX($K$7:$K$165,SMALL(IF($N$7:$N$165&lt;&gt;"",IF($K$7:$K$165&lt;&gt;"",ROW($K$7:$K$165)-MIN(ROW($K$7:$K$165))+1,""),""),ROW()-ROW(A$167)+1)),"##0"),","),"")</f>
        <v/>
      </c>
      <c r="L296" s="0" t="str">
        <f aca="false">IFERROR(CONCATENATE((INDEX($N$7:$N$165,SMALL(IF($N$7:$N$165&lt;&gt;"",IF($K$7:$K$165&lt;&gt;"",ROW($K$7:$K$165)-MIN(ROW($K$7:$K$165))+1,""),""),ROW()-ROW(A$167)+1))),","),"")</f>
        <v/>
      </c>
      <c r="M296" s="0" t="str">
        <f aca="false">IFERROR(CONCATENATE((INDEX($A$7:$A$165,SMALL(IF($N$7:$N$165&lt;&gt;"",IF($K$7:$K$165&lt;&gt;"",ROW($K$7:$K$165)-MIN(ROW($K$7:$K$165))+1,""),""),ROW()-ROW(A$167)+1))),),"")</f>
        <v/>
      </c>
      <c r="Q296" s="0" t="str">
        <f aca="false">IFERROR(CONCATENATE((INDEX($T$7:$T$165,SMALL(IF($T$7:$T$165&lt;&gt;"",IF($Q$7:$Q$165&lt;&gt;"",ROW($Q$7:$Q$165)-MIN(ROW($Q$7:$Q$165))+1,""),""),ROW()-ROW(A$167)+1)))," "),"")</f>
        <v/>
      </c>
      <c r="R296" s="0" t="str">
        <f aca="false">IFERROR(CONCATENATE(TEXT(INDEX($Q$7:$Q$165,SMALL(IF($T$7:$T$165&lt;&gt;"",IF($Q$7:$Q$165&lt;&gt;"",ROW($Q$7:$Q$165)-MIN(ROW($Q$7:$Q$165))+1,""),""),ROW()-ROW(A$167)+1)),"##0")," "),"")</f>
        <v/>
      </c>
      <c r="S296" s="0" t="str">
        <f aca="false">IFERROR(CONCATENATE((INDEX($A$7:$A$165,SMALL(IF($T$7:$T$165&lt;&gt;"",IF($Q$7:$Q$165&lt;&gt;"",ROW($Q$7:$Q$165)-MIN(ROW($Q$7:$Q$165))+1,""),""),ROW()-ROW(A$167)+1))),),"")</f>
        <v/>
      </c>
      <c r="W296" s="0" t="str">
        <f aca="false">IFERROR(CONCATENATE((INDEX($Z$7:$Z$165,SMALL(IF($Z$7:$Z$165&lt;&gt;"",IF($W$7:$W$165&lt;&gt;"",ROW($W$7:$W$165)-MIN(ROW($W$7:$W$165))+1,""),""),ROW()-ROW(A$167)+1))),","),"")</f>
        <v/>
      </c>
      <c r="X296" s="0" t="str">
        <f aca="false">IFERROR(CONCATENATE(TEXT(INDEX($W$7:$W$165,SMALL(IF($Z$7:$Z$165&lt;&gt;"",IF($W$7:$W$165&lt;&gt;"",ROW($W$7:$W$165)-MIN(ROW($W$7:$W$165))+1,""),""),ROW()-ROW(A$167)+1)),"##0"),","),"")</f>
        <v/>
      </c>
      <c r="Y296" s="0" t="str">
        <f aca="false">IFERROR(CONCATENATE((INDEX($A$7:$A$165,SMALL(IF($Z$7:$Z$165&lt;&gt;"",IF($W$7:$W$165&lt;&gt;"",ROW($W$7:$W$165)-MIN(ROW($W$7:$W$165))+1,""),""),ROW()-ROW(A$167)+1))),),"")</f>
        <v/>
      </c>
    </row>
    <row r="297" customFormat="false" ht="13.8" hidden="false" customHeight="false" outlineLevel="0" collapsed="false">
      <c r="K297" s="0" t="str">
        <f aca="false">IFERROR(CONCATENATE(TEXT(INDEX($K$7:$K$165,SMALL(IF($N$7:$N$165&lt;&gt;"",IF($K$7:$K$165&lt;&gt;"",ROW($K$7:$K$165)-MIN(ROW($K$7:$K$165))+1,""),""),ROW()-ROW(A$167)+1)),"##0"),","),"")</f>
        <v/>
      </c>
      <c r="L297" s="0" t="str">
        <f aca="false">IFERROR(CONCATENATE((INDEX($N$7:$N$165,SMALL(IF($N$7:$N$165&lt;&gt;"",IF($K$7:$K$165&lt;&gt;"",ROW($K$7:$K$165)-MIN(ROW($K$7:$K$165))+1,""),""),ROW()-ROW(A$167)+1))),","),"")</f>
        <v/>
      </c>
      <c r="M297" s="0" t="str">
        <f aca="false">IFERROR(CONCATENATE((INDEX($A$7:$A$165,SMALL(IF($N$7:$N$165&lt;&gt;"",IF($K$7:$K$165&lt;&gt;"",ROW($K$7:$K$165)-MIN(ROW($K$7:$K$165))+1,""),""),ROW()-ROW(A$167)+1))),),"")</f>
        <v/>
      </c>
      <c r="Q297" s="0" t="str">
        <f aca="false">IFERROR(CONCATENATE((INDEX($T$7:$T$165,SMALL(IF($T$7:$T$165&lt;&gt;"",IF($Q$7:$Q$165&lt;&gt;"",ROW($Q$7:$Q$165)-MIN(ROW($Q$7:$Q$165))+1,""),""),ROW()-ROW(A$167)+1)))," "),"")</f>
        <v/>
      </c>
      <c r="R297" s="0" t="str">
        <f aca="false">IFERROR(CONCATENATE(TEXT(INDEX($Q$7:$Q$165,SMALL(IF($T$7:$T$165&lt;&gt;"",IF($Q$7:$Q$165&lt;&gt;"",ROW($Q$7:$Q$165)-MIN(ROW($Q$7:$Q$165))+1,""),""),ROW()-ROW(A$167)+1)),"##0")," "),"")</f>
        <v/>
      </c>
      <c r="S297" s="0" t="str">
        <f aca="false">IFERROR(CONCATENATE((INDEX($A$7:$A$165,SMALL(IF($T$7:$T$165&lt;&gt;"",IF($Q$7:$Q$165&lt;&gt;"",ROW($Q$7:$Q$165)-MIN(ROW($Q$7:$Q$165))+1,""),""),ROW()-ROW(A$167)+1))),),"")</f>
        <v/>
      </c>
      <c r="W297" s="0" t="str">
        <f aca="false">IFERROR(CONCATENATE((INDEX($Z$7:$Z$165,SMALL(IF($Z$7:$Z$165&lt;&gt;"",IF($W$7:$W$165&lt;&gt;"",ROW($W$7:$W$165)-MIN(ROW($W$7:$W$165))+1,""),""),ROW()-ROW(A$167)+1))),","),"")</f>
        <v/>
      </c>
      <c r="X297" s="0" t="str">
        <f aca="false">IFERROR(CONCATENATE(TEXT(INDEX($W$7:$W$165,SMALL(IF($Z$7:$Z$165&lt;&gt;"",IF($W$7:$W$165&lt;&gt;"",ROW($W$7:$W$165)-MIN(ROW($W$7:$W$165))+1,""),""),ROW()-ROW(A$167)+1)),"##0"),","),"")</f>
        <v/>
      </c>
      <c r="Y297" s="0" t="str">
        <f aca="false">IFERROR(CONCATENATE((INDEX($A$7:$A$165,SMALL(IF($Z$7:$Z$165&lt;&gt;"",IF($W$7:$W$165&lt;&gt;"",ROW($W$7:$W$165)-MIN(ROW($W$7:$W$165))+1,""),""),ROW()-ROW(A$167)+1))),),"")</f>
        <v/>
      </c>
    </row>
    <row r="298" customFormat="false" ht="13.8" hidden="false" customHeight="false" outlineLevel="0" collapsed="false">
      <c r="K298" s="0" t="str">
        <f aca="false">IFERROR(CONCATENATE(TEXT(INDEX($K$7:$K$165,SMALL(IF($N$7:$N$165&lt;&gt;"",IF($K$7:$K$165&lt;&gt;"",ROW($K$7:$K$165)-MIN(ROW($K$7:$K$165))+1,""),""),ROW()-ROW(A$167)+1)),"##0"),","),"")</f>
        <v/>
      </c>
      <c r="L298" s="0" t="str">
        <f aca="false">IFERROR(CONCATENATE((INDEX($N$7:$N$165,SMALL(IF($N$7:$N$165&lt;&gt;"",IF($K$7:$K$165&lt;&gt;"",ROW($K$7:$K$165)-MIN(ROW($K$7:$K$165))+1,""),""),ROW()-ROW(A$167)+1))),","),"")</f>
        <v/>
      </c>
      <c r="M298" s="0" t="str">
        <f aca="false">IFERROR(CONCATENATE((INDEX($A$7:$A$165,SMALL(IF($N$7:$N$165&lt;&gt;"",IF($K$7:$K$165&lt;&gt;"",ROW($K$7:$K$165)-MIN(ROW($K$7:$K$165))+1,""),""),ROW()-ROW(A$167)+1))),),"")</f>
        <v/>
      </c>
      <c r="Q298" s="0" t="str">
        <f aca="false">IFERROR(CONCATENATE((INDEX($T$7:$T$165,SMALL(IF($T$7:$T$165&lt;&gt;"",IF($Q$7:$Q$165&lt;&gt;"",ROW($Q$7:$Q$165)-MIN(ROW($Q$7:$Q$165))+1,""),""),ROW()-ROW(A$167)+1)))," "),"")</f>
        <v/>
      </c>
      <c r="R298" s="0" t="str">
        <f aca="false">IFERROR(CONCATENATE(TEXT(INDEX($Q$7:$Q$165,SMALL(IF($T$7:$T$165&lt;&gt;"",IF($Q$7:$Q$165&lt;&gt;"",ROW($Q$7:$Q$165)-MIN(ROW($Q$7:$Q$165))+1,""),""),ROW()-ROW(A$167)+1)),"##0")," "),"")</f>
        <v/>
      </c>
      <c r="S298" s="0" t="str">
        <f aca="false">IFERROR(CONCATENATE((INDEX($A$7:$A$165,SMALL(IF($T$7:$T$165&lt;&gt;"",IF($Q$7:$Q$165&lt;&gt;"",ROW($Q$7:$Q$165)-MIN(ROW($Q$7:$Q$165))+1,""),""),ROW()-ROW(A$167)+1))),),"")</f>
        <v/>
      </c>
      <c r="W298" s="0" t="str">
        <f aca="false">IFERROR(CONCATENATE((INDEX($Z$7:$Z$165,SMALL(IF($Z$7:$Z$165&lt;&gt;"",IF($W$7:$W$165&lt;&gt;"",ROW($W$7:$W$165)-MIN(ROW($W$7:$W$165))+1,""),""),ROW()-ROW(A$167)+1))),","),"")</f>
        <v/>
      </c>
      <c r="X298" s="0" t="str">
        <f aca="false">IFERROR(CONCATENATE(TEXT(INDEX($W$7:$W$165,SMALL(IF($Z$7:$Z$165&lt;&gt;"",IF($W$7:$W$165&lt;&gt;"",ROW($W$7:$W$165)-MIN(ROW($W$7:$W$165))+1,""),""),ROW()-ROW(A$167)+1)),"##0"),","),"")</f>
        <v/>
      </c>
      <c r="Y298" s="0" t="str">
        <f aca="false">IFERROR(CONCATENATE((INDEX($A$7:$A$165,SMALL(IF($Z$7:$Z$165&lt;&gt;"",IF($W$7:$W$165&lt;&gt;"",ROW($W$7:$W$165)-MIN(ROW($W$7:$W$165))+1,""),""),ROW()-ROW(A$167)+1))),),"")</f>
        <v/>
      </c>
    </row>
    <row r="299" customFormat="false" ht="13.8" hidden="false" customHeight="false" outlineLevel="0" collapsed="false">
      <c r="K299" s="0" t="str">
        <f aca="false">IFERROR(CONCATENATE(TEXT(INDEX($K$7:$K$165,SMALL(IF($N$7:$N$165&lt;&gt;"",IF($K$7:$K$165&lt;&gt;"",ROW($K$7:$K$165)-MIN(ROW($K$7:$K$165))+1,""),""),ROW()-ROW(A$167)+1)),"##0"),","),"")</f>
        <v/>
      </c>
      <c r="L299" s="0" t="str">
        <f aca="false">IFERROR(CONCATENATE((INDEX($N$7:$N$165,SMALL(IF($N$7:$N$165&lt;&gt;"",IF($K$7:$K$165&lt;&gt;"",ROW($K$7:$K$165)-MIN(ROW($K$7:$K$165))+1,""),""),ROW()-ROW(A$167)+1))),","),"")</f>
        <v/>
      </c>
      <c r="M299" s="0" t="str">
        <f aca="false">IFERROR(CONCATENATE((INDEX($A$7:$A$165,SMALL(IF($N$7:$N$165&lt;&gt;"",IF($K$7:$K$165&lt;&gt;"",ROW($K$7:$K$165)-MIN(ROW($K$7:$K$165))+1,""),""),ROW()-ROW(A$167)+1))),),"")</f>
        <v/>
      </c>
      <c r="Q299" s="0" t="str">
        <f aca="false">IFERROR(CONCATENATE((INDEX($T$7:$T$165,SMALL(IF($T$7:$T$165&lt;&gt;"",IF($Q$7:$Q$165&lt;&gt;"",ROW($Q$7:$Q$165)-MIN(ROW($Q$7:$Q$165))+1,""),""),ROW()-ROW(A$167)+1)))," "),"")</f>
        <v/>
      </c>
      <c r="R299" s="0" t="str">
        <f aca="false">IFERROR(CONCATENATE(TEXT(INDEX($Q$7:$Q$165,SMALL(IF($T$7:$T$165&lt;&gt;"",IF($Q$7:$Q$165&lt;&gt;"",ROW($Q$7:$Q$165)-MIN(ROW($Q$7:$Q$165))+1,""),""),ROW()-ROW(A$167)+1)),"##0")," "),"")</f>
        <v/>
      </c>
      <c r="S299" s="0" t="str">
        <f aca="false">IFERROR(CONCATENATE((INDEX($A$7:$A$165,SMALL(IF($T$7:$T$165&lt;&gt;"",IF($Q$7:$Q$165&lt;&gt;"",ROW($Q$7:$Q$165)-MIN(ROW($Q$7:$Q$165))+1,""),""),ROW()-ROW(A$167)+1))),),"")</f>
        <v/>
      </c>
      <c r="W299" s="0" t="str">
        <f aca="false">IFERROR(CONCATENATE((INDEX($Z$7:$Z$165,SMALL(IF($Z$7:$Z$165&lt;&gt;"",IF($W$7:$W$165&lt;&gt;"",ROW($W$7:$W$165)-MIN(ROW($W$7:$W$165))+1,""),""),ROW()-ROW(A$167)+1))),","),"")</f>
        <v/>
      </c>
      <c r="X299" s="0" t="str">
        <f aca="false">IFERROR(CONCATENATE(TEXT(INDEX($W$7:$W$165,SMALL(IF($Z$7:$Z$165&lt;&gt;"",IF($W$7:$W$165&lt;&gt;"",ROW($W$7:$W$165)-MIN(ROW($W$7:$W$165))+1,""),""),ROW()-ROW(A$167)+1)),"##0"),","),"")</f>
        <v/>
      </c>
      <c r="Y299" s="0" t="str">
        <f aca="false">IFERROR(CONCATENATE((INDEX($A$7:$A$165,SMALL(IF($Z$7:$Z$165&lt;&gt;"",IF($W$7:$W$165&lt;&gt;"",ROW($W$7:$W$165)-MIN(ROW($W$7:$W$165))+1,""),""),ROW()-ROW(A$167)+1))),),"")</f>
        <v/>
      </c>
    </row>
    <row r="300" customFormat="false" ht="13.8" hidden="false" customHeight="false" outlineLevel="0" collapsed="false">
      <c r="K300" s="0" t="str">
        <f aca="false">IFERROR(CONCATENATE(TEXT(INDEX($K$7:$K$165,SMALL(IF($N$7:$N$165&lt;&gt;"",IF($K$7:$K$165&lt;&gt;"",ROW($K$7:$K$165)-MIN(ROW($K$7:$K$165))+1,""),""),ROW()-ROW(A$167)+1)),"##0"),","),"")</f>
        <v/>
      </c>
      <c r="L300" s="0" t="str">
        <f aca="false">IFERROR(CONCATENATE((INDEX($N$7:$N$165,SMALL(IF($N$7:$N$165&lt;&gt;"",IF($K$7:$K$165&lt;&gt;"",ROW($K$7:$K$165)-MIN(ROW($K$7:$K$165))+1,""),""),ROW()-ROW(A$167)+1))),","),"")</f>
        <v/>
      </c>
      <c r="M300" s="0" t="str">
        <f aca="false">IFERROR(CONCATENATE((INDEX($A$7:$A$165,SMALL(IF($N$7:$N$165&lt;&gt;"",IF($K$7:$K$165&lt;&gt;"",ROW($K$7:$K$165)-MIN(ROW($K$7:$K$165))+1,""),""),ROW()-ROW(A$167)+1))),),"")</f>
        <v/>
      </c>
      <c r="Q300" s="0" t="str">
        <f aca="false">IFERROR(CONCATENATE((INDEX($T$7:$T$165,SMALL(IF($T$7:$T$165&lt;&gt;"",IF($Q$7:$Q$165&lt;&gt;"",ROW($Q$7:$Q$165)-MIN(ROW($Q$7:$Q$165))+1,""),""),ROW()-ROW(A$167)+1)))," "),"")</f>
        <v/>
      </c>
      <c r="R300" s="0" t="str">
        <f aca="false">IFERROR(CONCATENATE(TEXT(INDEX($Q$7:$Q$165,SMALL(IF($T$7:$T$165&lt;&gt;"",IF($Q$7:$Q$165&lt;&gt;"",ROW($Q$7:$Q$165)-MIN(ROW($Q$7:$Q$165))+1,""),""),ROW()-ROW(A$167)+1)),"##0")," "),"")</f>
        <v/>
      </c>
      <c r="S300" s="0" t="str">
        <f aca="false">IFERROR(CONCATENATE((INDEX($A$7:$A$165,SMALL(IF($T$7:$T$165&lt;&gt;"",IF($Q$7:$Q$165&lt;&gt;"",ROW($Q$7:$Q$165)-MIN(ROW($Q$7:$Q$165))+1,""),""),ROW()-ROW(A$167)+1))),),"")</f>
        <v/>
      </c>
      <c r="W300" s="0" t="str">
        <f aca="false">IFERROR(CONCATENATE((INDEX($Z$7:$Z$165,SMALL(IF($Z$7:$Z$165&lt;&gt;"",IF($W$7:$W$165&lt;&gt;"",ROW($W$7:$W$165)-MIN(ROW($W$7:$W$165))+1,""),""),ROW()-ROW(A$167)+1))),","),"")</f>
        <v/>
      </c>
      <c r="X300" s="0" t="str">
        <f aca="false">IFERROR(CONCATENATE(TEXT(INDEX($W$7:$W$165,SMALL(IF($Z$7:$Z$165&lt;&gt;"",IF($W$7:$W$165&lt;&gt;"",ROW($W$7:$W$165)-MIN(ROW($W$7:$W$165))+1,""),""),ROW()-ROW(A$167)+1)),"##0"),","),"")</f>
        <v/>
      </c>
      <c r="Y300" s="0" t="str">
        <f aca="false">IFERROR(CONCATENATE((INDEX($A$7:$A$165,SMALL(IF($Z$7:$Z$165&lt;&gt;"",IF($W$7:$W$165&lt;&gt;"",ROW($W$7:$W$165)-MIN(ROW($W$7:$W$165))+1,""),""),ROW()-ROW(A$167)+1))),),"")</f>
        <v/>
      </c>
    </row>
    <row r="301" customFormat="false" ht="13.8" hidden="false" customHeight="false" outlineLevel="0" collapsed="false">
      <c r="K301" s="0" t="str">
        <f aca="false">IFERROR(CONCATENATE(TEXT(INDEX($K$7:$K$165,SMALL(IF($N$7:$N$165&lt;&gt;"",IF($K$7:$K$165&lt;&gt;"",ROW($K$7:$K$165)-MIN(ROW($K$7:$K$165))+1,""),""),ROW()-ROW(A$167)+1)),"##0"),","),"")</f>
        <v/>
      </c>
      <c r="L301" s="0" t="str">
        <f aca="false">IFERROR(CONCATENATE((INDEX($N$7:$N$165,SMALL(IF($N$7:$N$165&lt;&gt;"",IF($K$7:$K$165&lt;&gt;"",ROW($K$7:$K$165)-MIN(ROW($K$7:$K$165))+1,""),""),ROW()-ROW(A$167)+1))),","),"")</f>
        <v/>
      </c>
      <c r="M301" s="0" t="str">
        <f aca="false">IFERROR(CONCATENATE((INDEX($A$7:$A$165,SMALL(IF($N$7:$N$165&lt;&gt;"",IF($K$7:$K$165&lt;&gt;"",ROW($K$7:$K$165)-MIN(ROW($K$7:$K$165))+1,""),""),ROW()-ROW(A$167)+1))),),"")</f>
        <v/>
      </c>
      <c r="Q301" s="0" t="str">
        <f aca="false">IFERROR(CONCATENATE((INDEX($T$7:$T$165,SMALL(IF($T$7:$T$165&lt;&gt;"",IF($Q$7:$Q$165&lt;&gt;"",ROW($Q$7:$Q$165)-MIN(ROW($Q$7:$Q$165))+1,""),""),ROW()-ROW(A$167)+1)))," "),"")</f>
        <v/>
      </c>
      <c r="R301" s="0" t="str">
        <f aca="false">IFERROR(CONCATENATE(TEXT(INDEX($Q$7:$Q$165,SMALL(IF($T$7:$T$165&lt;&gt;"",IF($Q$7:$Q$165&lt;&gt;"",ROW($Q$7:$Q$165)-MIN(ROW($Q$7:$Q$165))+1,""),""),ROW()-ROW(A$167)+1)),"##0")," "),"")</f>
        <v/>
      </c>
      <c r="S301" s="0" t="str">
        <f aca="false">IFERROR(CONCATENATE((INDEX($A$7:$A$165,SMALL(IF($T$7:$T$165&lt;&gt;"",IF($Q$7:$Q$165&lt;&gt;"",ROW($Q$7:$Q$165)-MIN(ROW($Q$7:$Q$165))+1,""),""),ROW()-ROW(A$167)+1))),),"")</f>
        <v/>
      </c>
      <c r="W301" s="0" t="str">
        <f aca="false">IFERROR(CONCATENATE((INDEX($Z$7:$Z$165,SMALL(IF($Z$7:$Z$165&lt;&gt;"",IF($W$7:$W$165&lt;&gt;"",ROW($W$7:$W$165)-MIN(ROW($W$7:$W$165))+1,""),""),ROW()-ROW(A$167)+1))),","),"")</f>
        <v/>
      </c>
      <c r="X301" s="0" t="str">
        <f aca="false">IFERROR(CONCATENATE(TEXT(INDEX($W$7:$W$165,SMALL(IF($Z$7:$Z$165&lt;&gt;"",IF($W$7:$W$165&lt;&gt;"",ROW($W$7:$W$165)-MIN(ROW($W$7:$W$165))+1,""),""),ROW()-ROW(A$167)+1)),"##0"),","),"")</f>
        <v/>
      </c>
      <c r="Y301" s="0" t="str">
        <f aca="false">IFERROR(CONCATENATE((INDEX($A$7:$A$165,SMALL(IF($Z$7:$Z$165&lt;&gt;"",IF($W$7:$W$165&lt;&gt;"",ROW($W$7:$W$165)-MIN(ROW($W$7:$W$165))+1,""),""),ROW()-ROW(A$167)+1))),),"")</f>
        <v/>
      </c>
    </row>
    <row r="302" customFormat="false" ht="13.8" hidden="false" customHeight="false" outlineLevel="0" collapsed="false">
      <c r="K302" s="0" t="str">
        <f aca="false">IFERROR(CONCATENATE(TEXT(INDEX($K$7:$K$165,SMALL(IF($N$7:$N$165&lt;&gt;"",IF($K$7:$K$165&lt;&gt;"",ROW($K$7:$K$165)-MIN(ROW($K$7:$K$165))+1,""),""),ROW()-ROW(A$167)+1)),"##0"),","),"")</f>
        <v/>
      </c>
      <c r="L302" s="0" t="str">
        <f aca="false">IFERROR(CONCATENATE((INDEX($N$7:$N$165,SMALL(IF($N$7:$N$165&lt;&gt;"",IF($K$7:$K$165&lt;&gt;"",ROW($K$7:$K$165)-MIN(ROW($K$7:$K$165))+1,""),""),ROW()-ROW(A$167)+1))),","),"")</f>
        <v/>
      </c>
      <c r="M302" s="0" t="str">
        <f aca="false">IFERROR(CONCATENATE((INDEX($A$7:$A$165,SMALL(IF($N$7:$N$165&lt;&gt;"",IF($K$7:$K$165&lt;&gt;"",ROW($K$7:$K$165)-MIN(ROW($K$7:$K$165))+1,""),""),ROW()-ROW(A$167)+1))),),"")</f>
        <v/>
      </c>
      <c r="Q302" s="0" t="str">
        <f aca="false">IFERROR(CONCATENATE((INDEX($T$7:$T$165,SMALL(IF($T$7:$T$165&lt;&gt;"",IF($Q$7:$Q$165&lt;&gt;"",ROW($Q$7:$Q$165)-MIN(ROW($Q$7:$Q$165))+1,""),""),ROW()-ROW(A$167)+1)))," "),"")</f>
        <v/>
      </c>
      <c r="R302" s="0" t="str">
        <f aca="false">IFERROR(CONCATENATE(TEXT(INDEX($Q$7:$Q$165,SMALL(IF($T$7:$T$165&lt;&gt;"",IF($Q$7:$Q$165&lt;&gt;"",ROW($Q$7:$Q$165)-MIN(ROW($Q$7:$Q$165))+1,""),""),ROW()-ROW(A$167)+1)),"##0")," "),"")</f>
        <v/>
      </c>
      <c r="S302" s="0" t="str">
        <f aca="false">IFERROR(CONCATENATE((INDEX($A$7:$A$165,SMALL(IF($T$7:$T$165&lt;&gt;"",IF($Q$7:$Q$165&lt;&gt;"",ROW($Q$7:$Q$165)-MIN(ROW($Q$7:$Q$165))+1,""),""),ROW()-ROW(A$167)+1))),),"")</f>
        <v/>
      </c>
      <c r="W302" s="0" t="str">
        <f aca="false">IFERROR(CONCATENATE((INDEX($Z$7:$Z$165,SMALL(IF($Z$7:$Z$165&lt;&gt;"",IF($W$7:$W$165&lt;&gt;"",ROW($W$7:$W$165)-MIN(ROW($W$7:$W$165))+1,""),""),ROW()-ROW(A$167)+1))),","),"")</f>
        <v/>
      </c>
      <c r="X302" s="0" t="str">
        <f aca="false">IFERROR(CONCATENATE(TEXT(INDEX($W$7:$W$165,SMALL(IF($Z$7:$Z$165&lt;&gt;"",IF($W$7:$W$165&lt;&gt;"",ROW($W$7:$W$165)-MIN(ROW($W$7:$W$165))+1,""),""),ROW()-ROW(A$167)+1)),"##0"),","),"")</f>
        <v/>
      </c>
      <c r="Y302" s="0" t="str">
        <f aca="false">IFERROR(CONCATENATE((INDEX($A$7:$A$165,SMALL(IF($Z$7:$Z$165&lt;&gt;"",IF($W$7:$W$165&lt;&gt;"",ROW($W$7:$W$165)-MIN(ROW($W$7:$W$165))+1,""),""),ROW()-ROW(A$167)+1))),),"")</f>
        <v/>
      </c>
    </row>
    <row r="303" customFormat="false" ht="13.8" hidden="false" customHeight="false" outlineLevel="0" collapsed="false">
      <c r="K303" s="0" t="str">
        <f aca="false">IFERROR(CONCATENATE(TEXT(INDEX($K$7:$K$165,SMALL(IF($N$7:$N$165&lt;&gt;"",IF($K$7:$K$165&lt;&gt;"",ROW($K$7:$K$165)-MIN(ROW($K$7:$K$165))+1,""),""),ROW()-ROW(A$167)+1)),"##0"),","),"")</f>
        <v/>
      </c>
      <c r="L303" s="0" t="str">
        <f aca="false">IFERROR(CONCATENATE((INDEX($N$7:$N$165,SMALL(IF($N$7:$N$165&lt;&gt;"",IF($K$7:$K$165&lt;&gt;"",ROW($K$7:$K$165)-MIN(ROW($K$7:$K$165))+1,""),""),ROW()-ROW(A$167)+1))),","),"")</f>
        <v/>
      </c>
      <c r="M303" s="0" t="str">
        <f aca="false">IFERROR(CONCATENATE((INDEX($A$7:$A$165,SMALL(IF($N$7:$N$165&lt;&gt;"",IF($K$7:$K$165&lt;&gt;"",ROW($K$7:$K$165)-MIN(ROW($K$7:$K$165))+1,""),""),ROW()-ROW(A$167)+1))),),"")</f>
        <v/>
      </c>
      <c r="Q303" s="0" t="str">
        <f aca="false">IFERROR(CONCATENATE((INDEX($T$7:$T$165,SMALL(IF($T$7:$T$165&lt;&gt;"",IF($Q$7:$Q$165&lt;&gt;"",ROW($Q$7:$Q$165)-MIN(ROW($Q$7:$Q$165))+1,""),""),ROW()-ROW(A$167)+1)))," "),"")</f>
        <v/>
      </c>
      <c r="R303" s="0" t="str">
        <f aca="false">IFERROR(CONCATENATE(TEXT(INDEX($Q$7:$Q$165,SMALL(IF($T$7:$T$165&lt;&gt;"",IF($Q$7:$Q$165&lt;&gt;"",ROW($Q$7:$Q$165)-MIN(ROW($Q$7:$Q$165))+1,""),""),ROW()-ROW(A$167)+1)),"##0")," "),"")</f>
        <v/>
      </c>
      <c r="S303" s="0" t="str">
        <f aca="false">IFERROR(CONCATENATE((INDEX($A$7:$A$165,SMALL(IF($T$7:$T$165&lt;&gt;"",IF($Q$7:$Q$165&lt;&gt;"",ROW($Q$7:$Q$165)-MIN(ROW($Q$7:$Q$165))+1,""),""),ROW()-ROW(A$167)+1))),),"")</f>
        <v/>
      </c>
      <c r="W303" s="0" t="str">
        <f aca="false">IFERROR(CONCATENATE((INDEX($Z$7:$Z$165,SMALL(IF($Z$7:$Z$165&lt;&gt;"",IF($W$7:$W$165&lt;&gt;"",ROW($W$7:$W$165)-MIN(ROW($W$7:$W$165))+1,""),""),ROW()-ROW(A$167)+1))),","),"")</f>
        <v/>
      </c>
      <c r="X303" s="0" t="str">
        <f aca="false">IFERROR(CONCATENATE(TEXT(INDEX($W$7:$W$165,SMALL(IF($Z$7:$Z$165&lt;&gt;"",IF($W$7:$W$165&lt;&gt;"",ROW($W$7:$W$165)-MIN(ROW($W$7:$W$165))+1,""),""),ROW()-ROW(A$167)+1)),"##0"),","),"")</f>
        <v/>
      </c>
      <c r="Y303" s="0" t="str">
        <f aca="false">IFERROR(CONCATENATE((INDEX($A$7:$A$165,SMALL(IF($Z$7:$Z$165&lt;&gt;"",IF($W$7:$W$165&lt;&gt;"",ROW($W$7:$W$165)-MIN(ROW($W$7:$W$165))+1,""),""),ROW()-ROW(A$167)+1))),),"")</f>
        <v/>
      </c>
    </row>
    <row r="304" customFormat="false" ht="13.8" hidden="false" customHeight="false" outlineLevel="0" collapsed="false">
      <c r="K304" s="0" t="str">
        <f aca="false">IFERROR(CONCATENATE(TEXT(INDEX($K$7:$K$165,SMALL(IF($N$7:$N$165&lt;&gt;"",IF($K$7:$K$165&lt;&gt;"",ROW($K$7:$K$165)-MIN(ROW($K$7:$K$165))+1,""),""),ROW()-ROW(A$167)+1)),"##0"),","),"")</f>
        <v/>
      </c>
      <c r="L304" s="0" t="str">
        <f aca="false">IFERROR(CONCATENATE((INDEX($N$7:$N$165,SMALL(IF($N$7:$N$165&lt;&gt;"",IF($K$7:$K$165&lt;&gt;"",ROW($K$7:$K$165)-MIN(ROW($K$7:$K$165))+1,""),""),ROW()-ROW(A$167)+1))),","),"")</f>
        <v/>
      </c>
      <c r="M304" s="0" t="str">
        <f aca="false">IFERROR(CONCATENATE((INDEX($A$7:$A$165,SMALL(IF($N$7:$N$165&lt;&gt;"",IF($K$7:$K$165&lt;&gt;"",ROW($K$7:$K$165)-MIN(ROW($K$7:$K$165))+1,""),""),ROW()-ROW(A$167)+1))),),"")</f>
        <v/>
      </c>
      <c r="Q304" s="0" t="str">
        <f aca="false">IFERROR(CONCATENATE((INDEX($T$7:$T$165,SMALL(IF($T$7:$T$165&lt;&gt;"",IF($Q$7:$Q$165&lt;&gt;"",ROW($Q$7:$Q$165)-MIN(ROW($Q$7:$Q$165))+1,""),""),ROW()-ROW(A$167)+1)))," "),"")</f>
        <v/>
      </c>
      <c r="R304" s="0" t="str">
        <f aca="false">IFERROR(CONCATENATE(TEXT(INDEX($Q$7:$Q$165,SMALL(IF($T$7:$T$165&lt;&gt;"",IF($Q$7:$Q$165&lt;&gt;"",ROW($Q$7:$Q$165)-MIN(ROW($Q$7:$Q$165))+1,""),""),ROW()-ROW(A$167)+1)),"##0")," "),"")</f>
        <v/>
      </c>
      <c r="S304" s="0" t="str">
        <f aca="false">IFERROR(CONCATENATE((INDEX($A$7:$A$165,SMALL(IF($T$7:$T$165&lt;&gt;"",IF($Q$7:$Q$165&lt;&gt;"",ROW($Q$7:$Q$165)-MIN(ROW($Q$7:$Q$165))+1,""),""),ROW()-ROW(A$167)+1))),),"")</f>
        <v/>
      </c>
      <c r="W304" s="0" t="str">
        <f aca="false">IFERROR(CONCATENATE((INDEX($Z$7:$Z$165,SMALL(IF($Z$7:$Z$165&lt;&gt;"",IF($W$7:$W$165&lt;&gt;"",ROW($W$7:$W$165)-MIN(ROW($W$7:$W$165))+1,""),""),ROW()-ROW(A$167)+1))),","),"")</f>
        <v/>
      </c>
      <c r="X304" s="0" t="str">
        <f aca="false">IFERROR(CONCATENATE(TEXT(INDEX($W$7:$W$165,SMALL(IF($Z$7:$Z$165&lt;&gt;"",IF($W$7:$W$165&lt;&gt;"",ROW($W$7:$W$165)-MIN(ROW($W$7:$W$165))+1,""),""),ROW()-ROW(A$167)+1)),"##0"),","),"")</f>
        <v/>
      </c>
      <c r="Y304" s="0" t="str">
        <f aca="false">IFERROR(CONCATENATE((INDEX($A$7:$A$165,SMALL(IF($Z$7:$Z$165&lt;&gt;"",IF($W$7:$W$165&lt;&gt;"",ROW($W$7:$W$165)-MIN(ROW($W$7:$W$165))+1,""),""),ROW()-ROW(A$167)+1))),),"")</f>
        <v/>
      </c>
    </row>
    <row r="305" customFormat="false" ht="13.8" hidden="false" customHeight="false" outlineLevel="0" collapsed="false">
      <c r="K305" s="0" t="str">
        <f aca="false">IFERROR(CONCATENATE(TEXT(INDEX($K$7:$K$165,SMALL(IF($N$7:$N$165&lt;&gt;"",IF($K$7:$K$165&lt;&gt;"",ROW($K$7:$K$165)-MIN(ROW($K$7:$K$165))+1,""),""),ROW()-ROW(A$167)+1)),"##0"),","),"")</f>
        <v/>
      </c>
      <c r="L305" s="0" t="str">
        <f aca="false">IFERROR(CONCATENATE((INDEX($N$7:$N$165,SMALL(IF($N$7:$N$165&lt;&gt;"",IF($K$7:$K$165&lt;&gt;"",ROW($K$7:$K$165)-MIN(ROW($K$7:$K$165))+1,""),""),ROW()-ROW(A$167)+1))),","),"")</f>
        <v/>
      </c>
      <c r="M305" s="0" t="str">
        <f aca="false">IFERROR(CONCATENATE((INDEX($A$7:$A$165,SMALL(IF($N$7:$N$165&lt;&gt;"",IF($K$7:$K$165&lt;&gt;"",ROW($K$7:$K$165)-MIN(ROW($K$7:$K$165))+1,""),""),ROW()-ROW(A$167)+1))),),"")</f>
        <v/>
      </c>
      <c r="Q305" s="0" t="str">
        <f aca="false">IFERROR(CONCATENATE((INDEX($T$7:$T$165,SMALL(IF($T$7:$T$165&lt;&gt;"",IF($Q$7:$Q$165&lt;&gt;"",ROW($Q$7:$Q$165)-MIN(ROW($Q$7:$Q$165))+1,""),""),ROW()-ROW(A$167)+1)))," "),"")</f>
        <v/>
      </c>
      <c r="R305" s="0" t="str">
        <f aca="false">IFERROR(CONCATENATE(TEXT(INDEX($Q$7:$Q$165,SMALL(IF($T$7:$T$165&lt;&gt;"",IF($Q$7:$Q$165&lt;&gt;"",ROW($Q$7:$Q$165)-MIN(ROW($Q$7:$Q$165))+1,""),""),ROW()-ROW(A$167)+1)),"##0")," "),"")</f>
        <v/>
      </c>
      <c r="S305" s="0" t="str">
        <f aca="false">IFERROR(CONCATENATE((INDEX($A$7:$A$165,SMALL(IF($T$7:$T$165&lt;&gt;"",IF($Q$7:$Q$165&lt;&gt;"",ROW($Q$7:$Q$165)-MIN(ROW($Q$7:$Q$165))+1,""),""),ROW()-ROW(A$167)+1))),),"")</f>
        <v/>
      </c>
      <c r="W305" s="0" t="str">
        <f aca="false">IFERROR(CONCATENATE((INDEX($Z$7:$Z$165,SMALL(IF($Z$7:$Z$165&lt;&gt;"",IF($W$7:$W$165&lt;&gt;"",ROW($W$7:$W$165)-MIN(ROW($W$7:$W$165))+1,""),""),ROW()-ROW(A$167)+1))),","),"")</f>
        <v/>
      </c>
      <c r="X305" s="0" t="str">
        <f aca="false">IFERROR(CONCATENATE(TEXT(INDEX($W$7:$W$165,SMALL(IF($Z$7:$Z$165&lt;&gt;"",IF($W$7:$W$165&lt;&gt;"",ROW($W$7:$W$165)-MIN(ROW($W$7:$W$165))+1,""),""),ROW()-ROW(A$167)+1)),"##0"),","),"")</f>
        <v/>
      </c>
      <c r="Y305" s="0" t="str">
        <f aca="false">IFERROR(CONCATENATE((INDEX($A$7:$A$165,SMALL(IF($Z$7:$Z$165&lt;&gt;"",IF($W$7:$W$165&lt;&gt;"",ROW($W$7:$W$165)-MIN(ROW($W$7:$W$165))+1,""),""),ROW()-ROW(A$167)+1))),),"")</f>
        <v/>
      </c>
    </row>
    <row r="306" customFormat="false" ht="13.8" hidden="false" customHeight="false" outlineLevel="0" collapsed="false">
      <c r="K306" s="0" t="str">
        <f aca="false">IFERROR(CONCATENATE(TEXT(INDEX($K$7:$K$165,SMALL(IF($N$7:$N$165&lt;&gt;"",IF($K$7:$K$165&lt;&gt;"",ROW($K$7:$K$165)-MIN(ROW($K$7:$K$165))+1,""),""),ROW()-ROW(A$167)+1)),"##0"),","),"")</f>
        <v/>
      </c>
      <c r="L306" s="0" t="str">
        <f aca="false">IFERROR(CONCATENATE((INDEX($N$7:$N$165,SMALL(IF($N$7:$N$165&lt;&gt;"",IF($K$7:$K$165&lt;&gt;"",ROW($K$7:$K$165)-MIN(ROW($K$7:$K$165))+1,""),""),ROW()-ROW(A$167)+1))),","),"")</f>
        <v/>
      </c>
      <c r="M306" s="0" t="str">
        <f aca="false">IFERROR(CONCATENATE((INDEX($A$7:$A$165,SMALL(IF($N$7:$N$165&lt;&gt;"",IF($K$7:$K$165&lt;&gt;"",ROW($K$7:$K$165)-MIN(ROW($K$7:$K$165))+1,""),""),ROW()-ROW(A$167)+1))),),"")</f>
        <v/>
      </c>
      <c r="Q306" s="0" t="str">
        <f aca="false">IFERROR(CONCATENATE((INDEX($T$7:$T$165,SMALL(IF($T$7:$T$165&lt;&gt;"",IF($Q$7:$Q$165&lt;&gt;"",ROW($Q$7:$Q$165)-MIN(ROW($Q$7:$Q$165))+1,""),""),ROW()-ROW(A$167)+1)))," "),"")</f>
        <v/>
      </c>
      <c r="R306" s="0" t="str">
        <f aca="false">IFERROR(CONCATENATE(TEXT(INDEX($Q$7:$Q$165,SMALL(IF($T$7:$T$165&lt;&gt;"",IF($Q$7:$Q$165&lt;&gt;"",ROW($Q$7:$Q$165)-MIN(ROW($Q$7:$Q$165))+1,""),""),ROW()-ROW(A$167)+1)),"##0")," "),"")</f>
        <v/>
      </c>
      <c r="S306" s="0" t="str">
        <f aca="false">IFERROR(CONCATENATE((INDEX($A$7:$A$165,SMALL(IF($T$7:$T$165&lt;&gt;"",IF($Q$7:$Q$165&lt;&gt;"",ROW($Q$7:$Q$165)-MIN(ROW($Q$7:$Q$165))+1,""),""),ROW()-ROW(A$167)+1))),),"")</f>
        <v/>
      </c>
      <c r="W306" s="0" t="str">
        <f aca="false">IFERROR(CONCATENATE((INDEX($Z$7:$Z$165,SMALL(IF($Z$7:$Z$165&lt;&gt;"",IF($W$7:$W$165&lt;&gt;"",ROW($W$7:$W$165)-MIN(ROW($W$7:$W$165))+1,""),""),ROW()-ROW(A$167)+1))),","),"")</f>
        <v/>
      </c>
      <c r="X306" s="0" t="str">
        <f aca="false">IFERROR(CONCATENATE(TEXT(INDEX($W$7:$W$165,SMALL(IF($Z$7:$Z$165&lt;&gt;"",IF($W$7:$W$165&lt;&gt;"",ROW($W$7:$W$165)-MIN(ROW($W$7:$W$165))+1,""),""),ROW()-ROW(A$167)+1)),"##0"),","),"")</f>
        <v/>
      </c>
      <c r="Y306" s="0" t="str">
        <f aca="false">IFERROR(CONCATENATE((INDEX($A$7:$A$165,SMALL(IF($Z$7:$Z$165&lt;&gt;"",IF($W$7:$W$165&lt;&gt;"",ROW($W$7:$W$165)-MIN(ROW($W$7:$W$165))+1,""),""),ROW()-ROW(A$167)+1))),),"")</f>
        <v/>
      </c>
    </row>
    <row r="307" customFormat="false" ht="13.8" hidden="false" customHeight="false" outlineLevel="0" collapsed="false">
      <c r="K307" s="0" t="str">
        <f aca="false">IFERROR(CONCATENATE(TEXT(INDEX($K$7:$K$165,SMALL(IF($N$7:$N$165&lt;&gt;"",IF($K$7:$K$165&lt;&gt;"",ROW($K$7:$K$165)-MIN(ROW($K$7:$K$165))+1,""),""),ROW()-ROW(A$167)+1)),"##0"),","),"")</f>
        <v/>
      </c>
      <c r="L307" s="0" t="str">
        <f aca="false">IFERROR(CONCATENATE((INDEX($N$7:$N$165,SMALL(IF($N$7:$N$165&lt;&gt;"",IF($K$7:$K$165&lt;&gt;"",ROW($K$7:$K$165)-MIN(ROW($K$7:$K$165))+1,""),""),ROW()-ROW(A$167)+1))),","),"")</f>
        <v/>
      </c>
      <c r="M307" s="0" t="str">
        <f aca="false">IFERROR(CONCATENATE((INDEX($A$7:$A$165,SMALL(IF($N$7:$N$165&lt;&gt;"",IF($K$7:$K$165&lt;&gt;"",ROW($K$7:$K$165)-MIN(ROW($K$7:$K$165))+1,""),""),ROW()-ROW(A$167)+1))),),"")</f>
        <v/>
      </c>
      <c r="Q307" s="0" t="str">
        <f aca="false">IFERROR(CONCATENATE((INDEX($T$7:$T$165,SMALL(IF($T$7:$T$165&lt;&gt;"",IF($Q$7:$Q$165&lt;&gt;"",ROW($Q$7:$Q$165)-MIN(ROW($Q$7:$Q$165))+1,""),""),ROW()-ROW(A$167)+1)))," "),"")</f>
        <v/>
      </c>
      <c r="R307" s="0" t="str">
        <f aca="false">IFERROR(CONCATENATE(TEXT(INDEX($Q$7:$Q$165,SMALL(IF($T$7:$T$165&lt;&gt;"",IF($Q$7:$Q$165&lt;&gt;"",ROW($Q$7:$Q$165)-MIN(ROW($Q$7:$Q$165))+1,""),""),ROW()-ROW(A$167)+1)),"##0")," "),"")</f>
        <v/>
      </c>
      <c r="S307" s="0" t="str">
        <f aca="false">IFERROR(CONCATENATE((INDEX($A$7:$A$165,SMALL(IF($T$7:$T$165&lt;&gt;"",IF($Q$7:$Q$165&lt;&gt;"",ROW($Q$7:$Q$165)-MIN(ROW($Q$7:$Q$165))+1,""),""),ROW()-ROW(A$167)+1))),),"")</f>
        <v/>
      </c>
      <c r="W307" s="0" t="str">
        <f aca="false">IFERROR(CONCATENATE((INDEX($Z$7:$Z$165,SMALL(IF($Z$7:$Z$165&lt;&gt;"",IF($W$7:$W$165&lt;&gt;"",ROW($W$7:$W$165)-MIN(ROW($W$7:$W$165))+1,""),""),ROW()-ROW(A$167)+1))),","),"")</f>
        <v/>
      </c>
      <c r="X307" s="0" t="str">
        <f aca="false">IFERROR(CONCATENATE(TEXT(INDEX($W$7:$W$165,SMALL(IF($Z$7:$Z$165&lt;&gt;"",IF($W$7:$W$165&lt;&gt;"",ROW($W$7:$W$165)-MIN(ROW($W$7:$W$165))+1,""),""),ROW()-ROW(A$167)+1)),"##0"),","),"")</f>
        <v/>
      </c>
      <c r="Y307" s="0" t="str">
        <f aca="false">IFERROR(CONCATENATE((INDEX($A$7:$A$165,SMALL(IF($Z$7:$Z$165&lt;&gt;"",IF($W$7:$W$165&lt;&gt;"",ROW($W$7:$W$165)-MIN(ROW($W$7:$W$165))+1,""),""),ROW()-ROW(A$167)+1))),),"")</f>
        <v/>
      </c>
    </row>
    <row r="308" customFormat="false" ht="13.8" hidden="false" customHeight="false" outlineLevel="0" collapsed="false">
      <c r="K308" s="0" t="str">
        <f aca="false">IFERROR(CONCATENATE(TEXT(INDEX($K$7:$K$165,SMALL(IF($N$7:$N$165&lt;&gt;"",IF($K$7:$K$165&lt;&gt;"",ROW($K$7:$K$165)-MIN(ROW($K$7:$K$165))+1,""),""),ROW()-ROW(A$167)+1)),"##0"),","),"")</f>
        <v/>
      </c>
      <c r="L308" s="0" t="str">
        <f aca="false">IFERROR(CONCATENATE((INDEX($N$7:$N$165,SMALL(IF($N$7:$N$165&lt;&gt;"",IF($K$7:$K$165&lt;&gt;"",ROW($K$7:$K$165)-MIN(ROW($K$7:$K$165))+1,""),""),ROW()-ROW(A$167)+1))),","),"")</f>
        <v/>
      </c>
      <c r="M308" s="0" t="str">
        <f aca="false">IFERROR(CONCATENATE((INDEX($A$7:$A$165,SMALL(IF($N$7:$N$165&lt;&gt;"",IF($K$7:$K$165&lt;&gt;"",ROW($K$7:$K$165)-MIN(ROW($K$7:$K$165))+1,""),""),ROW()-ROW(A$167)+1))),),"")</f>
        <v/>
      </c>
      <c r="Q308" s="0" t="str">
        <f aca="false">IFERROR(CONCATENATE((INDEX($T$7:$T$165,SMALL(IF($T$7:$T$165&lt;&gt;"",IF($Q$7:$Q$165&lt;&gt;"",ROW($Q$7:$Q$165)-MIN(ROW($Q$7:$Q$165))+1,""),""),ROW()-ROW(A$167)+1)))," "),"")</f>
        <v/>
      </c>
      <c r="R308" s="0" t="str">
        <f aca="false">IFERROR(CONCATENATE(TEXT(INDEX($Q$7:$Q$165,SMALL(IF($T$7:$T$165&lt;&gt;"",IF($Q$7:$Q$165&lt;&gt;"",ROW($Q$7:$Q$165)-MIN(ROW($Q$7:$Q$165))+1,""),""),ROW()-ROW(A$167)+1)),"##0")," "),"")</f>
        <v/>
      </c>
      <c r="S308" s="0" t="str">
        <f aca="false">IFERROR(CONCATENATE((INDEX($A$7:$A$165,SMALL(IF($T$7:$T$165&lt;&gt;"",IF($Q$7:$Q$165&lt;&gt;"",ROW($Q$7:$Q$165)-MIN(ROW($Q$7:$Q$165))+1,""),""),ROW()-ROW(A$167)+1))),),"")</f>
        <v/>
      </c>
      <c r="W308" s="0" t="str">
        <f aca="false">IFERROR(CONCATENATE((INDEX($Z$7:$Z$165,SMALL(IF($Z$7:$Z$165&lt;&gt;"",IF($W$7:$W$165&lt;&gt;"",ROW($W$7:$W$165)-MIN(ROW($W$7:$W$165))+1,""),""),ROW()-ROW(A$167)+1))),","),"")</f>
        <v/>
      </c>
      <c r="X308" s="0" t="str">
        <f aca="false">IFERROR(CONCATENATE(TEXT(INDEX($W$7:$W$165,SMALL(IF($Z$7:$Z$165&lt;&gt;"",IF($W$7:$W$165&lt;&gt;"",ROW($W$7:$W$165)-MIN(ROW($W$7:$W$165))+1,""),""),ROW()-ROW(A$167)+1)),"##0"),","),"")</f>
        <v/>
      </c>
      <c r="Y308" s="0" t="str">
        <f aca="false">IFERROR(CONCATENATE((INDEX($A$7:$A$165,SMALL(IF($Z$7:$Z$165&lt;&gt;"",IF($W$7:$W$165&lt;&gt;"",ROW($W$7:$W$165)-MIN(ROW($W$7:$W$165))+1,""),""),ROW()-ROW(A$167)+1))),),"")</f>
        <v/>
      </c>
    </row>
    <row r="309" customFormat="false" ht="13.8" hidden="false" customHeight="false" outlineLevel="0" collapsed="false">
      <c r="K309" s="0" t="str">
        <f aca="false">IFERROR(CONCATENATE(TEXT(INDEX($K$7:$K$165,SMALL(IF($N$7:$N$165&lt;&gt;"",IF($K$7:$K$165&lt;&gt;"",ROW($K$7:$K$165)-MIN(ROW($K$7:$K$165))+1,""),""),ROW()-ROW(A$167)+1)),"##0"),","),"")</f>
        <v/>
      </c>
      <c r="L309" s="0" t="str">
        <f aca="false">IFERROR(CONCATENATE((INDEX($N$7:$N$165,SMALL(IF($N$7:$N$165&lt;&gt;"",IF($K$7:$K$165&lt;&gt;"",ROW($K$7:$K$165)-MIN(ROW($K$7:$K$165))+1,""),""),ROW()-ROW(A$167)+1))),","),"")</f>
        <v/>
      </c>
      <c r="M309" s="0" t="str">
        <f aca="false">IFERROR(CONCATENATE((INDEX($A$7:$A$165,SMALL(IF($N$7:$N$165&lt;&gt;"",IF($K$7:$K$165&lt;&gt;"",ROW($K$7:$K$165)-MIN(ROW($K$7:$K$165))+1,""),""),ROW()-ROW(A$167)+1))),),"")</f>
        <v/>
      </c>
      <c r="Q309" s="0" t="str">
        <f aca="false">IFERROR(CONCATENATE((INDEX($T$7:$T$165,SMALL(IF($T$7:$T$165&lt;&gt;"",IF($Q$7:$Q$165&lt;&gt;"",ROW($Q$7:$Q$165)-MIN(ROW($Q$7:$Q$165))+1,""),""),ROW()-ROW(A$167)+1)))," "),"")</f>
        <v/>
      </c>
      <c r="R309" s="0" t="str">
        <f aca="false">IFERROR(CONCATENATE(TEXT(INDEX($Q$7:$Q$165,SMALL(IF($T$7:$T$165&lt;&gt;"",IF($Q$7:$Q$165&lt;&gt;"",ROW($Q$7:$Q$165)-MIN(ROW($Q$7:$Q$165))+1,""),""),ROW()-ROW(A$167)+1)),"##0")," "),"")</f>
        <v/>
      </c>
      <c r="S309" s="0" t="str">
        <f aca="false">IFERROR(CONCATENATE((INDEX($A$7:$A$165,SMALL(IF($T$7:$T$165&lt;&gt;"",IF($Q$7:$Q$165&lt;&gt;"",ROW($Q$7:$Q$165)-MIN(ROW($Q$7:$Q$165))+1,""),""),ROW()-ROW(A$167)+1))),),"")</f>
        <v/>
      </c>
      <c r="W309" s="0" t="str">
        <f aca="false">IFERROR(CONCATENATE((INDEX($Z$7:$Z$165,SMALL(IF($Z$7:$Z$165&lt;&gt;"",IF($W$7:$W$165&lt;&gt;"",ROW($W$7:$W$165)-MIN(ROW($W$7:$W$165))+1,""),""),ROW()-ROW(A$167)+1))),","),"")</f>
        <v/>
      </c>
      <c r="X309" s="0" t="str">
        <f aca="false">IFERROR(CONCATENATE(TEXT(INDEX($W$7:$W$165,SMALL(IF($Z$7:$Z$165&lt;&gt;"",IF($W$7:$W$165&lt;&gt;"",ROW($W$7:$W$165)-MIN(ROW($W$7:$W$165))+1,""),""),ROW()-ROW(A$167)+1)),"##0"),","),"")</f>
        <v/>
      </c>
      <c r="Y309" s="0" t="str">
        <f aca="false">IFERROR(CONCATENATE((INDEX($A$7:$A$165,SMALL(IF($Z$7:$Z$165&lt;&gt;"",IF($W$7:$W$165&lt;&gt;"",ROW($W$7:$W$165)-MIN(ROW($W$7:$W$165))+1,""),""),ROW()-ROW(A$167)+1))),),"")</f>
        <v/>
      </c>
    </row>
    <row r="310" customFormat="false" ht="13.8" hidden="false" customHeight="false" outlineLevel="0" collapsed="false">
      <c r="K310" s="0" t="str">
        <f aca="false">IFERROR(CONCATENATE(TEXT(INDEX($K$7:$K$165,SMALL(IF($N$7:$N$165&lt;&gt;"",IF($K$7:$K$165&lt;&gt;"",ROW($K$7:$K$165)-MIN(ROW($K$7:$K$165))+1,""),""),ROW()-ROW(A$167)+1)),"##0"),","),"")</f>
        <v/>
      </c>
      <c r="L310" s="0" t="str">
        <f aca="false">IFERROR(CONCATENATE((INDEX($N$7:$N$165,SMALL(IF($N$7:$N$165&lt;&gt;"",IF($K$7:$K$165&lt;&gt;"",ROW($K$7:$K$165)-MIN(ROW($K$7:$K$165))+1,""),""),ROW()-ROW(A$167)+1))),","),"")</f>
        <v/>
      </c>
      <c r="M310" s="0" t="str">
        <f aca="false">IFERROR(CONCATENATE((INDEX($A$7:$A$165,SMALL(IF($N$7:$N$165&lt;&gt;"",IF($K$7:$K$165&lt;&gt;"",ROW($K$7:$K$165)-MIN(ROW($K$7:$K$165))+1,""),""),ROW()-ROW(A$167)+1))),),"")</f>
        <v/>
      </c>
      <c r="Q310" s="0" t="str">
        <f aca="false">IFERROR(CONCATENATE((INDEX($T$7:$T$165,SMALL(IF($T$7:$T$165&lt;&gt;"",IF($Q$7:$Q$165&lt;&gt;"",ROW($Q$7:$Q$165)-MIN(ROW($Q$7:$Q$165))+1,""),""),ROW()-ROW(A$167)+1)))," "),"")</f>
        <v/>
      </c>
      <c r="R310" s="0" t="str">
        <f aca="false">IFERROR(CONCATENATE(TEXT(INDEX($Q$7:$Q$165,SMALL(IF($T$7:$T$165&lt;&gt;"",IF($Q$7:$Q$165&lt;&gt;"",ROW($Q$7:$Q$165)-MIN(ROW($Q$7:$Q$165))+1,""),""),ROW()-ROW(A$167)+1)),"##0")," "),"")</f>
        <v/>
      </c>
      <c r="S310" s="0" t="str">
        <f aca="false">IFERROR(CONCATENATE((INDEX($A$7:$A$165,SMALL(IF($T$7:$T$165&lt;&gt;"",IF($Q$7:$Q$165&lt;&gt;"",ROW($Q$7:$Q$165)-MIN(ROW($Q$7:$Q$165))+1,""),""),ROW()-ROW(A$167)+1))),),"")</f>
        <v/>
      </c>
      <c r="W310" s="0" t="str">
        <f aca="false">IFERROR(CONCATENATE((INDEX($Z$7:$Z$165,SMALL(IF($Z$7:$Z$165&lt;&gt;"",IF($W$7:$W$165&lt;&gt;"",ROW($W$7:$W$165)-MIN(ROW($W$7:$W$165))+1,""),""),ROW()-ROW(A$167)+1))),","),"")</f>
        <v/>
      </c>
      <c r="X310" s="0" t="str">
        <f aca="false">IFERROR(CONCATENATE(TEXT(INDEX($W$7:$W$165,SMALL(IF($Z$7:$Z$165&lt;&gt;"",IF($W$7:$W$165&lt;&gt;"",ROW($W$7:$W$165)-MIN(ROW($W$7:$W$165))+1,""),""),ROW()-ROW(A$167)+1)),"##0"),","),"")</f>
        <v/>
      </c>
      <c r="Y310" s="0" t="str">
        <f aca="false">IFERROR(CONCATENATE((INDEX($A$7:$A$165,SMALL(IF($Z$7:$Z$165&lt;&gt;"",IF($W$7:$W$165&lt;&gt;"",ROW($W$7:$W$165)-MIN(ROW($W$7:$W$165))+1,""),""),ROW()-ROW(A$167)+1))),),"")</f>
        <v/>
      </c>
    </row>
    <row r="311" customFormat="false" ht="13.8" hidden="false" customHeight="false" outlineLevel="0" collapsed="false">
      <c r="K311" s="0" t="str">
        <f aca="false">IFERROR(CONCATENATE(TEXT(INDEX($K$7:$K$165,SMALL(IF($N$7:$N$165&lt;&gt;"",IF($K$7:$K$165&lt;&gt;"",ROW($K$7:$K$165)-MIN(ROW($K$7:$K$165))+1,""),""),ROW()-ROW(A$167)+1)),"##0"),","),"")</f>
        <v/>
      </c>
      <c r="L311" s="0" t="str">
        <f aca="false">IFERROR(CONCATENATE((INDEX($N$7:$N$165,SMALL(IF($N$7:$N$165&lt;&gt;"",IF($K$7:$K$165&lt;&gt;"",ROW($K$7:$K$165)-MIN(ROW($K$7:$K$165))+1,""),""),ROW()-ROW(A$167)+1))),","),"")</f>
        <v/>
      </c>
      <c r="M311" s="0" t="str">
        <f aca="false">IFERROR(CONCATENATE((INDEX($A$7:$A$165,SMALL(IF($N$7:$N$165&lt;&gt;"",IF($K$7:$K$165&lt;&gt;"",ROW($K$7:$K$165)-MIN(ROW($K$7:$K$165))+1,""),""),ROW()-ROW(A$167)+1))),),"")</f>
        <v/>
      </c>
      <c r="Q311" s="0" t="str">
        <f aca="false">IFERROR(CONCATENATE((INDEX($T$7:$T$165,SMALL(IF($T$7:$T$165&lt;&gt;"",IF($Q$7:$Q$165&lt;&gt;"",ROW($Q$7:$Q$165)-MIN(ROW($Q$7:$Q$165))+1,""),""),ROW()-ROW(A$167)+1)))," "),"")</f>
        <v/>
      </c>
      <c r="R311" s="0" t="str">
        <f aca="false">IFERROR(CONCATENATE(TEXT(INDEX($Q$7:$Q$165,SMALL(IF($T$7:$T$165&lt;&gt;"",IF($Q$7:$Q$165&lt;&gt;"",ROW($Q$7:$Q$165)-MIN(ROW($Q$7:$Q$165))+1,""),""),ROW()-ROW(A$167)+1)),"##0")," "),"")</f>
        <v/>
      </c>
      <c r="S311" s="0" t="str">
        <f aca="false">IFERROR(CONCATENATE((INDEX($A$7:$A$165,SMALL(IF($T$7:$T$165&lt;&gt;"",IF($Q$7:$Q$165&lt;&gt;"",ROW($Q$7:$Q$165)-MIN(ROW($Q$7:$Q$165))+1,""),""),ROW()-ROW(A$167)+1))),),"")</f>
        <v/>
      </c>
      <c r="W311" s="0" t="str">
        <f aca="false">IFERROR(CONCATENATE((INDEX($Z$7:$Z$165,SMALL(IF($Z$7:$Z$165&lt;&gt;"",IF($W$7:$W$165&lt;&gt;"",ROW($W$7:$W$165)-MIN(ROW($W$7:$W$165))+1,""),""),ROW()-ROW(A$167)+1))),","),"")</f>
        <v/>
      </c>
      <c r="X311" s="0" t="str">
        <f aca="false">IFERROR(CONCATENATE(TEXT(INDEX($W$7:$W$165,SMALL(IF($Z$7:$Z$165&lt;&gt;"",IF($W$7:$W$165&lt;&gt;"",ROW($W$7:$W$165)-MIN(ROW($W$7:$W$165))+1,""),""),ROW()-ROW(A$167)+1)),"##0"),","),"")</f>
        <v/>
      </c>
      <c r="Y311" s="0" t="str">
        <f aca="false">IFERROR(CONCATENATE((INDEX($A$7:$A$165,SMALL(IF($Z$7:$Z$165&lt;&gt;"",IF($W$7:$W$165&lt;&gt;"",ROW($W$7:$W$165)-MIN(ROW($W$7:$W$165))+1,""),""),ROW()-ROW(A$167)+1))),),"")</f>
        <v/>
      </c>
    </row>
    <row r="312" customFormat="false" ht="13.8" hidden="false" customHeight="false" outlineLevel="0" collapsed="false">
      <c r="K312" s="0" t="str">
        <f aca="false">IFERROR(CONCATENATE(TEXT(INDEX($K$7:$K$165,SMALL(IF($N$7:$N$165&lt;&gt;"",IF($K$7:$K$165&lt;&gt;"",ROW($K$7:$K$165)-MIN(ROW($K$7:$K$165))+1,""),""),ROW()-ROW(A$167)+1)),"##0"),","),"")</f>
        <v/>
      </c>
      <c r="L312" s="0" t="str">
        <f aca="false">IFERROR(CONCATENATE((INDEX($N$7:$N$165,SMALL(IF($N$7:$N$165&lt;&gt;"",IF($K$7:$K$165&lt;&gt;"",ROW($K$7:$K$165)-MIN(ROW($K$7:$K$165))+1,""),""),ROW()-ROW(A$167)+1))),","),"")</f>
        <v/>
      </c>
      <c r="M312" s="0" t="str">
        <f aca="false">IFERROR(CONCATENATE((INDEX($A$7:$A$165,SMALL(IF($N$7:$N$165&lt;&gt;"",IF($K$7:$K$165&lt;&gt;"",ROW($K$7:$K$165)-MIN(ROW($K$7:$K$165))+1,""),""),ROW()-ROW(A$167)+1))),),"")</f>
        <v/>
      </c>
      <c r="Q312" s="0" t="str">
        <f aca="false">IFERROR(CONCATENATE((INDEX($T$7:$T$165,SMALL(IF($T$7:$T$165&lt;&gt;"",IF($Q$7:$Q$165&lt;&gt;"",ROW($Q$7:$Q$165)-MIN(ROW($Q$7:$Q$165))+1,""),""),ROW()-ROW(A$167)+1)))," "),"")</f>
        <v/>
      </c>
      <c r="R312" s="0" t="str">
        <f aca="false">IFERROR(CONCATENATE(TEXT(INDEX($Q$7:$Q$165,SMALL(IF($T$7:$T$165&lt;&gt;"",IF($Q$7:$Q$165&lt;&gt;"",ROW($Q$7:$Q$165)-MIN(ROW($Q$7:$Q$165))+1,""),""),ROW()-ROW(A$167)+1)),"##0")," "),"")</f>
        <v/>
      </c>
      <c r="S312" s="0" t="str">
        <f aca="false">IFERROR(CONCATENATE((INDEX($A$7:$A$165,SMALL(IF($T$7:$T$165&lt;&gt;"",IF($Q$7:$Q$165&lt;&gt;"",ROW($Q$7:$Q$165)-MIN(ROW($Q$7:$Q$165))+1,""),""),ROW()-ROW(A$167)+1))),),"")</f>
        <v/>
      </c>
      <c r="W312" s="0" t="str">
        <f aca="false">IFERROR(CONCATENATE((INDEX($Z$7:$Z$165,SMALL(IF($Z$7:$Z$165&lt;&gt;"",IF($W$7:$W$165&lt;&gt;"",ROW($W$7:$W$165)-MIN(ROW($W$7:$W$165))+1,""),""),ROW()-ROW(A$167)+1))),","),"")</f>
        <v/>
      </c>
      <c r="X312" s="0" t="str">
        <f aca="false">IFERROR(CONCATENATE(TEXT(INDEX($W$7:$W$165,SMALL(IF($Z$7:$Z$165&lt;&gt;"",IF($W$7:$W$165&lt;&gt;"",ROW($W$7:$W$165)-MIN(ROW($W$7:$W$165))+1,""),""),ROW()-ROW(A$167)+1)),"##0"),","),"")</f>
        <v/>
      </c>
      <c r="Y312" s="0" t="str">
        <f aca="false">IFERROR(CONCATENATE((INDEX($A$7:$A$165,SMALL(IF($Z$7:$Z$165&lt;&gt;"",IF($W$7:$W$165&lt;&gt;"",ROW($W$7:$W$165)-MIN(ROW($W$7:$W$165))+1,""),""),ROW()-ROW(A$167)+1))),),"")</f>
        <v/>
      </c>
    </row>
    <row r="313" customFormat="false" ht="13.8" hidden="false" customHeight="false" outlineLevel="0" collapsed="false">
      <c r="K313" s="0" t="str">
        <f aca="false">IFERROR(CONCATENATE(TEXT(INDEX($K$7:$K$165,SMALL(IF($N$7:$N$165&lt;&gt;"",IF($K$7:$K$165&lt;&gt;"",ROW($K$7:$K$165)-MIN(ROW($K$7:$K$165))+1,""),""),ROW()-ROW(A$167)+1)),"##0"),","),"")</f>
        <v/>
      </c>
      <c r="L313" s="0" t="str">
        <f aca="false">IFERROR(CONCATENATE((INDEX($N$7:$N$165,SMALL(IF($N$7:$N$165&lt;&gt;"",IF($K$7:$K$165&lt;&gt;"",ROW($K$7:$K$165)-MIN(ROW($K$7:$K$165))+1,""),""),ROW()-ROW(A$167)+1))),","),"")</f>
        <v/>
      </c>
      <c r="M313" s="0" t="str">
        <f aca="false">IFERROR(CONCATENATE((INDEX($A$7:$A$165,SMALL(IF($N$7:$N$165&lt;&gt;"",IF($K$7:$K$165&lt;&gt;"",ROW($K$7:$K$165)-MIN(ROW($K$7:$K$165))+1,""),""),ROW()-ROW(A$167)+1))),),"")</f>
        <v/>
      </c>
      <c r="Q313" s="0" t="str">
        <f aca="false">IFERROR(CONCATENATE((INDEX($T$7:$T$165,SMALL(IF($T$7:$T$165&lt;&gt;"",IF($Q$7:$Q$165&lt;&gt;"",ROW($Q$7:$Q$165)-MIN(ROW($Q$7:$Q$165))+1,""),""),ROW()-ROW(A$167)+1)))," "),"")</f>
        <v/>
      </c>
      <c r="R313" s="0" t="str">
        <f aca="false">IFERROR(CONCATENATE(TEXT(INDEX($Q$7:$Q$165,SMALL(IF($T$7:$T$165&lt;&gt;"",IF($Q$7:$Q$165&lt;&gt;"",ROW($Q$7:$Q$165)-MIN(ROW($Q$7:$Q$165))+1,""),""),ROW()-ROW(A$167)+1)),"##0")," "),"")</f>
        <v/>
      </c>
      <c r="S313" s="0" t="str">
        <f aca="false">IFERROR(CONCATENATE((INDEX($A$7:$A$165,SMALL(IF($T$7:$T$165&lt;&gt;"",IF($Q$7:$Q$165&lt;&gt;"",ROW($Q$7:$Q$165)-MIN(ROW($Q$7:$Q$165))+1,""),""),ROW()-ROW(A$167)+1))),),"")</f>
        <v/>
      </c>
      <c r="W313" s="0" t="str">
        <f aca="false">IFERROR(CONCATENATE((INDEX($Z$7:$Z$165,SMALL(IF($Z$7:$Z$165&lt;&gt;"",IF($W$7:$W$165&lt;&gt;"",ROW($W$7:$W$165)-MIN(ROW($W$7:$W$165))+1,""),""),ROW()-ROW(A$167)+1))),","),"")</f>
        <v/>
      </c>
      <c r="X313" s="0" t="str">
        <f aca="false">IFERROR(CONCATENATE(TEXT(INDEX($W$7:$W$165,SMALL(IF($Z$7:$Z$165&lt;&gt;"",IF($W$7:$W$165&lt;&gt;"",ROW($W$7:$W$165)-MIN(ROW($W$7:$W$165))+1,""),""),ROW()-ROW(A$167)+1)),"##0"),","),"")</f>
        <v/>
      </c>
      <c r="Y313" s="0" t="str">
        <f aca="false">IFERROR(CONCATENATE((INDEX($A$7:$A$165,SMALL(IF($Z$7:$Z$165&lt;&gt;"",IF($W$7:$W$165&lt;&gt;"",ROW($W$7:$W$165)-MIN(ROW($W$7:$W$165))+1,""),""),ROW()-ROW(A$167)+1))),),"")</f>
        <v/>
      </c>
    </row>
    <row r="314" customFormat="false" ht="13.8" hidden="false" customHeight="false" outlineLevel="0" collapsed="false">
      <c r="K314" s="0" t="str">
        <f aca="false">IFERROR(CONCATENATE(TEXT(INDEX($K$7:$K$165,SMALL(IF($N$7:$N$165&lt;&gt;"",IF($K$7:$K$165&lt;&gt;"",ROW($K$7:$K$165)-MIN(ROW($K$7:$K$165))+1,""),""),ROW()-ROW(A$167)+1)),"##0"),","),"")</f>
        <v/>
      </c>
      <c r="L314" s="0" t="str">
        <f aca="false">IFERROR(CONCATENATE((INDEX($N$7:$N$165,SMALL(IF($N$7:$N$165&lt;&gt;"",IF($K$7:$K$165&lt;&gt;"",ROW($K$7:$K$165)-MIN(ROW($K$7:$K$165))+1,""),""),ROW()-ROW(A$167)+1))),","),"")</f>
        <v/>
      </c>
      <c r="M314" s="0" t="str">
        <f aca="false">IFERROR(CONCATENATE((INDEX($A$7:$A$165,SMALL(IF($N$7:$N$165&lt;&gt;"",IF($K$7:$K$165&lt;&gt;"",ROW($K$7:$K$165)-MIN(ROW($K$7:$K$165))+1,""),""),ROW()-ROW(A$167)+1))),),"")</f>
        <v/>
      </c>
      <c r="Q314" s="0" t="str">
        <f aca="false">IFERROR(CONCATENATE((INDEX($T$7:$T$165,SMALL(IF($T$7:$T$165&lt;&gt;"",IF($Q$7:$Q$165&lt;&gt;"",ROW($Q$7:$Q$165)-MIN(ROW($Q$7:$Q$165))+1,""),""),ROW()-ROW(A$167)+1)))," "),"")</f>
        <v/>
      </c>
      <c r="R314" s="0" t="str">
        <f aca="false">IFERROR(CONCATENATE(TEXT(INDEX($Q$7:$Q$165,SMALL(IF($T$7:$T$165&lt;&gt;"",IF($Q$7:$Q$165&lt;&gt;"",ROW($Q$7:$Q$165)-MIN(ROW($Q$7:$Q$165))+1,""),""),ROW()-ROW(A$167)+1)),"##0")," "),"")</f>
        <v/>
      </c>
      <c r="S314" s="0" t="str">
        <f aca="false">IFERROR(CONCATENATE((INDEX($A$7:$A$165,SMALL(IF($T$7:$T$165&lt;&gt;"",IF($Q$7:$Q$165&lt;&gt;"",ROW($Q$7:$Q$165)-MIN(ROW($Q$7:$Q$165))+1,""),""),ROW()-ROW(A$167)+1))),),"")</f>
        <v/>
      </c>
      <c r="W314" s="0" t="str">
        <f aca="false">IFERROR(CONCATENATE((INDEX($Z$7:$Z$165,SMALL(IF($Z$7:$Z$165&lt;&gt;"",IF($W$7:$W$165&lt;&gt;"",ROW($W$7:$W$165)-MIN(ROW($W$7:$W$165))+1,""),""),ROW()-ROW(A$167)+1))),","),"")</f>
        <v/>
      </c>
      <c r="X314" s="0" t="str">
        <f aca="false">IFERROR(CONCATENATE(TEXT(INDEX($W$7:$W$165,SMALL(IF($Z$7:$Z$165&lt;&gt;"",IF($W$7:$W$165&lt;&gt;"",ROW($W$7:$W$165)-MIN(ROW($W$7:$W$165))+1,""),""),ROW()-ROW(A$167)+1)),"##0"),","),"")</f>
        <v/>
      </c>
      <c r="Y314" s="0" t="str">
        <f aca="false">IFERROR(CONCATENATE((INDEX($A$7:$A$165,SMALL(IF($Z$7:$Z$165&lt;&gt;"",IF($W$7:$W$165&lt;&gt;"",ROW($W$7:$W$165)-MIN(ROW($W$7:$W$165))+1,""),""),ROW()-ROW(A$167)+1))),),"")</f>
        <v/>
      </c>
    </row>
    <row r="315" customFormat="false" ht="13.8" hidden="false" customHeight="false" outlineLevel="0" collapsed="false">
      <c r="K315" s="0" t="str">
        <f aca="false">IFERROR(CONCATENATE(TEXT(INDEX($K$7:$K$165,SMALL(IF($N$7:$N$165&lt;&gt;"",IF($K$7:$K$165&lt;&gt;"",ROW($K$7:$K$165)-MIN(ROW($K$7:$K$165))+1,""),""),ROW()-ROW(A$167)+1)),"##0"),","),"")</f>
        <v/>
      </c>
      <c r="L315" s="0" t="str">
        <f aca="false">IFERROR(CONCATENATE((INDEX($N$7:$N$165,SMALL(IF($N$7:$N$165&lt;&gt;"",IF($K$7:$K$165&lt;&gt;"",ROW($K$7:$K$165)-MIN(ROW($K$7:$K$165))+1,""),""),ROW()-ROW(A$167)+1))),","),"")</f>
        <v/>
      </c>
      <c r="M315" s="0" t="str">
        <f aca="false">IFERROR(CONCATENATE((INDEX($A$7:$A$165,SMALL(IF($N$7:$N$165&lt;&gt;"",IF($K$7:$K$165&lt;&gt;"",ROW($K$7:$K$165)-MIN(ROW($K$7:$K$165))+1,""),""),ROW()-ROW(A$167)+1))),),"")</f>
        <v/>
      </c>
      <c r="Q315" s="0" t="str">
        <f aca="false">IFERROR(CONCATENATE((INDEX($T$7:$T$165,SMALL(IF($T$7:$T$165&lt;&gt;"",IF($Q$7:$Q$165&lt;&gt;"",ROW($Q$7:$Q$165)-MIN(ROW($Q$7:$Q$165))+1,""),""),ROW()-ROW(A$167)+1)))," "),"")</f>
        <v/>
      </c>
      <c r="R315" s="0" t="str">
        <f aca="false">IFERROR(CONCATENATE(TEXT(INDEX($Q$7:$Q$165,SMALL(IF($T$7:$T$165&lt;&gt;"",IF($Q$7:$Q$165&lt;&gt;"",ROW($Q$7:$Q$165)-MIN(ROW($Q$7:$Q$165))+1,""),""),ROW()-ROW(A$167)+1)),"##0")," "),"")</f>
        <v/>
      </c>
      <c r="S315" s="0" t="str">
        <f aca="false">IFERROR(CONCATENATE((INDEX($A$7:$A$165,SMALL(IF($T$7:$T$165&lt;&gt;"",IF($Q$7:$Q$165&lt;&gt;"",ROW($Q$7:$Q$165)-MIN(ROW($Q$7:$Q$165))+1,""),""),ROW()-ROW(A$167)+1))),),"")</f>
        <v/>
      </c>
      <c r="W315" s="0" t="str">
        <f aca="false">IFERROR(CONCATENATE((INDEX($Z$7:$Z$165,SMALL(IF($Z$7:$Z$165&lt;&gt;"",IF($W$7:$W$165&lt;&gt;"",ROW($W$7:$W$165)-MIN(ROW($W$7:$W$165))+1,""),""),ROW()-ROW(A$167)+1))),","),"")</f>
        <v/>
      </c>
      <c r="X315" s="0" t="str">
        <f aca="false">IFERROR(CONCATENATE(TEXT(INDEX($W$7:$W$165,SMALL(IF($Z$7:$Z$165&lt;&gt;"",IF($W$7:$W$165&lt;&gt;"",ROW($W$7:$W$165)-MIN(ROW($W$7:$W$165))+1,""),""),ROW()-ROW(A$167)+1)),"##0"),","),"")</f>
        <v/>
      </c>
      <c r="Y315" s="0" t="str">
        <f aca="false">IFERROR(CONCATENATE((INDEX($A$7:$A$165,SMALL(IF($Z$7:$Z$165&lt;&gt;"",IF($W$7:$W$165&lt;&gt;"",ROW($W$7:$W$165)-MIN(ROW($W$7:$W$165))+1,""),""),ROW()-ROW(A$167)+1))),),"")</f>
        <v/>
      </c>
    </row>
    <row r="316" customFormat="false" ht="13.8" hidden="false" customHeight="false" outlineLevel="0" collapsed="false">
      <c r="K316" s="0" t="str">
        <f aca="false">IFERROR(CONCATENATE(TEXT(INDEX($K$7:$K$165,SMALL(IF($N$7:$N$165&lt;&gt;"",IF($K$7:$K$165&lt;&gt;"",ROW($K$7:$K$165)-MIN(ROW($K$7:$K$165))+1,""),""),ROW()-ROW(A$167)+1)),"##0"),","),"")</f>
        <v/>
      </c>
      <c r="L316" s="0" t="str">
        <f aca="false">IFERROR(CONCATENATE((INDEX($N$7:$N$165,SMALL(IF($N$7:$N$165&lt;&gt;"",IF($K$7:$K$165&lt;&gt;"",ROW($K$7:$K$165)-MIN(ROW($K$7:$K$165))+1,""),""),ROW()-ROW(A$167)+1))),","),"")</f>
        <v/>
      </c>
      <c r="M316" s="0" t="str">
        <f aca="false">IFERROR(CONCATENATE((INDEX($A$7:$A$165,SMALL(IF($N$7:$N$165&lt;&gt;"",IF($K$7:$K$165&lt;&gt;"",ROW($K$7:$K$165)-MIN(ROW($K$7:$K$165))+1,""),""),ROW()-ROW(A$167)+1))),),"")</f>
        <v/>
      </c>
      <c r="Q316" s="0" t="str">
        <f aca="false">IFERROR(CONCATENATE((INDEX($T$7:$T$165,SMALL(IF($T$7:$T$165&lt;&gt;"",IF($Q$7:$Q$165&lt;&gt;"",ROW($Q$7:$Q$165)-MIN(ROW($Q$7:$Q$165))+1,""),""),ROW()-ROW(A$167)+1)))," "),"")</f>
        <v/>
      </c>
      <c r="R316" s="0" t="str">
        <f aca="false">IFERROR(CONCATENATE(TEXT(INDEX($Q$7:$Q$165,SMALL(IF($T$7:$T$165&lt;&gt;"",IF($Q$7:$Q$165&lt;&gt;"",ROW($Q$7:$Q$165)-MIN(ROW($Q$7:$Q$165))+1,""),""),ROW()-ROW(A$167)+1)),"##0")," "),"")</f>
        <v/>
      </c>
      <c r="S316" s="0" t="str">
        <f aca="false">IFERROR(CONCATENATE((INDEX($A$7:$A$165,SMALL(IF($T$7:$T$165&lt;&gt;"",IF($Q$7:$Q$165&lt;&gt;"",ROW($Q$7:$Q$165)-MIN(ROW($Q$7:$Q$165))+1,""),""),ROW()-ROW(A$167)+1))),),"")</f>
        <v/>
      </c>
      <c r="W316" s="0" t="str">
        <f aca="false">IFERROR(CONCATENATE((INDEX($Z$7:$Z$165,SMALL(IF($Z$7:$Z$165&lt;&gt;"",IF($W$7:$W$165&lt;&gt;"",ROW($W$7:$W$165)-MIN(ROW($W$7:$W$165))+1,""),""),ROW()-ROW(A$167)+1))),","),"")</f>
        <v/>
      </c>
      <c r="X316" s="0" t="str">
        <f aca="false">IFERROR(CONCATENATE(TEXT(INDEX($W$7:$W$165,SMALL(IF($Z$7:$Z$165&lt;&gt;"",IF($W$7:$W$165&lt;&gt;"",ROW($W$7:$W$165)-MIN(ROW($W$7:$W$165))+1,""),""),ROW()-ROW(A$167)+1)),"##0"),","),"")</f>
        <v/>
      </c>
      <c r="Y316" s="0" t="str">
        <f aca="false">IFERROR(CONCATENATE((INDEX($A$7:$A$165,SMALL(IF($Z$7:$Z$165&lt;&gt;"",IF($W$7:$W$165&lt;&gt;"",ROW($W$7:$W$165)-MIN(ROW($W$7:$W$165))+1,""),""),ROW()-ROW(A$167)+1))),),"")</f>
        <v/>
      </c>
    </row>
    <row r="317" customFormat="false" ht="13.8" hidden="false" customHeight="false" outlineLevel="0" collapsed="false">
      <c r="K317" s="0" t="str">
        <f aca="false">IFERROR(CONCATENATE(TEXT(INDEX($K$7:$K$165,SMALL(IF($N$7:$N$165&lt;&gt;"",IF($K$7:$K$165&lt;&gt;"",ROW($K$7:$K$165)-MIN(ROW($K$7:$K$165))+1,""),""),ROW()-ROW(A$167)+1)),"##0"),","),"")</f>
        <v/>
      </c>
      <c r="L317" s="0" t="str">
        <f aca="false">IFERROR(CONCATENATE((INDEX($N$7:$N$165,SMALL(IF($N$7:$N$165&lt;&gt;"",IF($K$7:$K$165&lt;&gt;"",ROW($K$7:$K$165)-MIN(ROW($K$7:$K$165))+1,""),""),ROW()-ROW(A$167)+1))),","),"")</f>
        <v/>
      </c>
      <c r="M317" s="0" t="str">
        <f aca="false">IFERROR(CONCATENATE((INDEX($A$7:$A$165,SMALL(IF($N$7:$N$165&lt;&gt;"",IF($K$7:$K$165&lt;&gt;"",ROW($K$7:$K$165)-MIN(ROW($K$7:$K$165))+1,""),""),ROW()-ROW(A$167)+1))),),"")</f>
        <v/>
      </c>
      <c r="Q317" s="0" t="str">
        <f aca="false">IFERROR(CONCATENATE((INDEX($T$7:$T$165,SMALL(IF($T$7:$T$165&lt;&gt;"",IF($Q$7:$Q$165&lt;&gt;"",ROW($Q$7:$Q$165)-MIN(ROW($Q$7:$Q$165))+1,""),""),ROW()-ROW(A$167)+1)))," "),"")</f>
        <v/>
      </c>
      <c r="R317" s="0" t="str">
        <f aca="false">IFERROR(CONCATENATE(TEXT(INDEX($Q$7:$Q$165,SMALL(IF($T$7:$T$165&lt;&gt;"",IF($Q$7:$Q$165&lt;&gt;"",ROW($Q$7:$Q$165)-MIN(ROW($Q$7:$Q$165))+1,""),""),ROW()-ROW(A$167)+1)),"##0")," "),"")</f>
        <v/>
      </c>
      <c r="S317" s="0" t="str">
        <f aca="false">IFERROR(CONCATENATE((INDEX($A$7:$A$165,SMALL(IF($T$7:$T$165&lt;&gt;"",IF($Q$7:$Q$165&lt;&gt;"",ROW($Q$7:$Q$165)-MIN(ROW($Q$7:$Q$165))+1,""),""),ROW()-ROW(A$167)+1))),),"")</f>
        <v/>
      </c>
      <c r="W317" s="0" t="str">
        <f aca="false">IFERROR(CONCATENATE((INDEX($Z$7:$Z$165,SMALL(IF($Z$7:$Z$165&lt;&gt;"",IF($W$7:$W$165&lt;&gt;"",ROW($W$7:$W$165)-MIN(ROW($W$7:$W$165))+1,""),""),ROW()-ROW(A$167)+1))),","),"")</f>
        <v/>
      </c>
      <c r="X317" s="0" t="str">
        <f aca="false">IFERROR(CONCATENATE(TEXT(INDEX($W$7:$W$165,SMALL(IF($Z$7:$Z$165&lt;&gt;"",IF($W$7:$W$165&lt;&gt;"",ROW($W$7:$W$165)-MIN(ROW($W$7:$W$165))+1,""),""),ROW()-ROW(A$167)+1)),"##0"),","),"")</f>
        <v/>
      </c>
      <c r="Y317" s="0" t="str">
        <f aca="false">IFERROR(CONCATENATE((INDEX($A$7:$A$165,SMALL(IF($Z$7:$Z$165&lt;&gt;"",IF($W$7:$W$165&lt;&gt;"",ROW($W$7:$W$165)-MIN(ROW($W$7:$W$165))+1,""),""),ROW()-ROW(A$167)+1))),),"")</f>
        <v/>
      </c>
    </row>
    <row r="318" customFormat="false" ht="13.8" hidden="false" customHeight="false" outlineLevel="0" collapsed="false">
      <c r="K318" s="0" t="str">
        <f aca="false">IFERROR(CONCATENATE(TEXT(INDEX($K$7:$K$165,SMALL(IF($N$7:$N$165&lt;&gt;"",IF($K$7:$K$165&lt;&gt;"",ROW($K$7:$K$165)-MIN(ROW($K$7:$K$165))+1,""),""),ROW()-ROW(A$167)+1)),"##0"),","),"")</f>
        <v/>
      </c>
      <c r="L318" s="0" t="str">
        <f aca="false">IFERROR(CONCATENATE((INDEX($N$7:$N$165,SMALL(IF($N$7:$N$165&lt;&gt;"",IF($K$7:$K$165&lt;&gt;"",ROW($K$7:$K$165)-MIN(ROW($K$7:$K$165))+1,""),""),ROW()-ROW(A$167)+1))),","),"")</f>
        <v/>
      </c>
      <c r="M318" s="0" t="str">
        <f aca="false">IFERROR(CONCATENATE((INDEX($A$7:$A$165,SMALL(IF($N$7:$N$165&lt;&gt;"",IF($K$7:$K$165&lt;&gt;"",ROW($K$7:$K$165)-MIN(ROW($K$7:$K$165))+1,""),""),ROW()-ROW(A$167)+1))),),"")</f>
        <v/>
      </c>
      <c r="Q318" s="0" t="str">
        <f aca="false">IFERROR(CONCATENATE((INDEX($T$7:$T$165,SMALL(IF($T$7:$T$165&lt;&gt;"",IF($Q$7:$Q$165&lt;&gt;"",ROW($Q$7:$Q$165)-MIN(ROW($Q$7:$Q$165))+1,""),""),ROW()-ROW(A$167)+1)))," "),"")</f>
        <v/>
      </c>
      <c r="R318" s="0" t="str">
        <f aca="false">IFERROR(CONCATENATE(TEXT(INDEX($Q$7:$Q$165,SMALL(IF($T$7:$T$165&lt;&gt;"",IF($Q$7:$Q$165&lt;&gt;"",ROW($Q$7:$Q$165)-MIN(ROW($Q$7:$Q$165))+1,""),""),ROW()-ROW(A$167)+1)),"##0")," "),"")</f>
        <v/>
      </c>
      <c r="S318" s="0" t="str">
        <f aca="false">IFERROR(CONCATENATE((INDEX($A$7:$A$165,SMALL(IF($T$7:$T$165&lt;&gt;"",IF($Q$7:$Q$165&lt;&gt;"",ROW($Q$7:$Q$165)-MIN(ROW($Q$7:$Q$165))+1,""),""),ROW()-ROW(A$167)+1))),),"")</f>
        <v/>
      </c>
      <c r="W318" s="0" t="str">
        <f aca="false">IFERROR(CONCATENATE((INDEX($Z$7:$Z$165,SMALL(IF($Z$7:$Z$165&lt;&gt;"",IF($W$7:$W$165&lt;&gt;"",ROW($W$7:$W$165)-MIN(ROW($W$7:$W$165))+1,""),""),ROW()-ROW(A$167)+1))),","),"")</f>
        <v/>
      </c>
      <c r="X318" s="0" t="str">
        <f aca="false">IFERROR(CONCATENATE(TEXT(INDEX($W$7:$W$165,SMALL(IF($Z$7:$Z$165&lt;&gt;"",IF($W$7:$W$165&lt;&gt;"",ROW($W$7:$W$165)-MIN(ROW($W$7:$W$165))+1,""),""),ROW()-ROW(A$167)+1)),"##0"),","),"")</f>
        <v/>
      </c>
      <c r="Y318" s="0" t="str">
        <f aca="false">IFERROR(CONCATENATE((INDEX($A$7:$A$165,SMALL(IF($Z$7:$Z$165&lt;&gt;"",IF($W$7:$W$165&lt;&gt;"",ROW($W$7:$W$165)-MIN(ROW($W$7:$W$165))+1,""),""),ROW()-ROW(A$167)+1))),),"")</f>
        <v/>
      </c>
    </row>
    <row r="319" customFormat="false" ht="13.8" hidden="false" customHeight="false" outlineLevel="0" collapsed="false">
      <c r="K319" s="0" t="str">
        <f aca="false">IFERROR(CONCATENATE(TEXT(INDEX($K$7:$K$165,SMALL(IF($N$7:$N$165&lt;&gt;"",IF($K$7:$K$165&lt;&gt;"",ROW($K$7:$K$165)-MIN(ROW($K$7:$K$165))+1,""),""),ROW()-ROW(A$167)+1)),"##0"),","),"")</f>
        <v/>
      </c>
      <c r="L319" s="0" t="str">
        <f aca="false">IFERROR(CONCATENATE((INDEX($N$7:$N$165,SMALL(IF($N$7:$N$165&lt;&gt;"",IF($K$7:$K$165&lt;&gt;"",ROW($K$7:$K$165)-MIN(ROW($K$7:$K$165))+1,""),""),ROW()-ROW(A$167)+1))),","),"")</f>
        <v/>
      </c>
      <c r="M319" s="0" t="str">
        <f aca="false">IFERROR(CONCATENATE((INDEX($A$7:$A$165,SMALL(IF($N$7:$N$165&lt;&gt;"",IF($K$7:$K$165&lt;&gt;"",ROW($K$7:$K$165)-MIN(ROW($K$7:$K$165))+1,""),""),ROW()-ROW(A$167)+1))),),"")</f>
        <v/>
      </c>
      <c r="Q319" s="0" t="str">
        <f aca="false">IFERROR(CONCATENATE((INDEX($T$7:$T$165,SMALL(IF($T$7:$T$165&lt;&gt;"",IF($Q$7:$Q$165&lt;&gt;"",ROW($Q$7:$Q$165)-MIN(ROW($Q$7:$Q$165))+1,""),""),ROW()-ROW(A$167)+1)))," "),"")</f>
        <v/>
      </c>
      <c r="R319" s="0" t="str">
        <f aca="false">IFERROR(CONCATENATE(TEXT(INDEX($Q$7:$Q$165,SMALL(IF($T$7:$T$165&lt;&gt;"",IF($Q$7:$Q$165&lt;&gt;"",ROW($Q$7:$Q$165)-MIN(ROW($Q$7:$Q$165))+1,""),""),ROW()-ROW(A$167)+1)),"##0")," "),"")</f>
        <v/>
      </c>
      <c r="S319" s="0" t="str">
        <f aca="false">IFERROR(CONCATENATE((INDEX($A$7:$A$165,SMALL(IF($T$7:$T$165&lt;&gt;"",IF($Q$7:$Q$165&lt;&gt;"",ROW($Q$7:$Q$165)-MIN(ROW($Q$7:$Q$165))+1,""),""),ROW()-ROW(A$167)+1))),),"")</f>
        <v/>
      </c>
      <c r="W319" s="0" t="str">
        <f aca="false">IFERROR(CONCATENATE((INDEX($Z$7:$Z$165,SMALL(IF($Z$7:$Z$165&lt;&gt;"",IF($W$7:$W$165&lt;&gt;"",ROW($W$7:$W$165)-MIN(ROW($W$7:$W$165))+1,""),""),ROW()-ROW(A$167)+1))),","),"")</f>
        <v/>
      </c>
      <c r="X319" s="0" t="str">
        <f aca="false">IFERROR(CONCATENATE(TEXT(INDEX($W$7:$W$165,SMALL(IF($Z$7:$Z$165&lt;&gt;"",IF($W$7:$W$165&lt;&gt;"",ROW($W$7:$W$165)-MIN(ROW($W$7:$W$165))+1,""),""),ROW()-ROW(A$167)+1)),"##0"),","),"")</f>
        <v/>
      </c>
      <c r="Y319" s="0" t="str">
        <f aca="false">IFERROR(CONCATENATE((INDEX($A$7:$A$165,SMALL(IF($Z$7:$Z$165&lt;&gt;"",IF($W$7:$W$165&lt;&gt;"",ROW($W$7:$W$165)-MIN(ROW($W$7:$W$165))+1,""),""),ROW()-ROW(A$167)+1))),),"")</f>
        <v/>
      </c>
    </row>
    <row r="320" customFormat="false" ht="13.8" hidden="false" customHeight="false" outlineLevel="0" collapsed="false">
      <c r="K320" s="0" t="str">
        <f aca="false">IFERROR(CONCATENATE(TEXT(INDEX($K$7:$K$165,SMALL(IF($N$7:$N$165&lt;&gt;"",IF($K$7:$K$165&lt;&gt;"",ROW($K$7:$K$165)-MIN(ROW($K$7:$K$165))+1,""),""),ROW()-ROW(A$167)+1)),"##0"),","),"")</f>
        <v/>
      </c>
      <c r="L320" s="0" t="str">
        <f aca="false">IFERROR(CONCATENATE((INDEX($N$7:$N$165,SMALL(IF($N$7:$N$165&lt;&gt;"",IF($K$7:$K$165&lt;&gt;"",ROW($K$7:$K$165)-MIN(ROW($K$7:$K$165))+1,""),""),ROW()-ROW(A$167)+1))),","),"")</f>
        <v/>
      </c>
      <c r="M320" s="0" t="str">
        <f aca="false">IFERROR(CONCATENATE((INDEX($A$7:$A$165,SMALL(IF($N$7:$N$165&lt;&gt;"",IF($K$7:$K$165&lt;&gt;"",ROW($K$7:$K$165)-MIN(ROW($K$7:$K$165))+1,""),""),ROW()-ROW(A$167)+1))),),"")</f>
        <v/>
      </c>
      <c r="Q320" s="0" t="str">
        <f aca="false">IFERROR(CONCATENATE((INDEX($T$7:$T$165,SMALL(IF($T$7:$T$165&lt;&gt;"",IF($Q$7:$Q$165&lt;&gt;"",ROW($Q$7:$Q$165)-MIN(ROW($Q$7:$Q$165))+1,""),""),ROW()-ROW(A$167)+1)))," "),"")</f>
        <v/>
      </c>
      <c r="R320" s="0" t="str">
        <f aca="false">IFERROR(CONCATENATE(TEXT(INDEX($Q$7:$Q$165,SMALL(IF($T$7:$T$165&lt;&gt;"",IF($Q$7:$Q$165&lt;&gt;"",ROW($Q$7:$Q$165)-MIN(ROW($Q$7:$Q$165))+1,""),""),ROW()-ROW(A$167)+1)),"##0")," "),"")</f>
        <v/>
      </c>
      <c r="S320" s="0" t="str">
        <f aca="false">IFERROR(CONCATENATE((INDEX($A$7:$A$165,SMALL(IF($T$7:$T$165&lt;&gt;"",IF($Q$7:$Q$165&lt;&gt;"",ROW($Q$7:$Q$165)-MIN(ROW($Q$7:$Q$165))+1,""),""),ROW()-ROW(A$167)+1))),),"")</f>
        <v/>
      </c>
      <c r="W320" s="0" t="str">
        <f aca="false">IFERROR(CONCATENATE((INDEX($Z$7:$Z$165,SMALL(IF($Z$7:$Z$165&lt;&gt;"",IF($W$7:$W$165&lt;&gt;"",ROW($W$7:$W$165)-MIN(ROW($W$7:$W$165))+1,""),""),ROW()-ROW(A$167)+1))),","),"")</f>
        <v/>
      </c>
      <c r="X320" s="0" t="str">
        <f aca="false">IFERROR(CONCATENATE(TEXT(INDEX($W$7:$W$165,SMALL(IF($Z$7:$Z$165&lt;&gt;"",IF($W$7:$W$165&lt;&gt;"",ROW($W$7:$W$165)-MIN(ROW($W$7:$W$165))+1,""),""),ROW()-ROW(A$167)+1)),"##0"),","),"")</f>
        <v/>
      </c>
      <c r="Y320" s="0" t="str">
        <f aca="false">IFERROR(CONCATENATE((INDEX($A$7:$A$165,SMALL(IF($Z$7:$Z$165&lt;&gt;"",IF($W$7:$W$165&lt;&gt;"",ROW($W$7:$W$165)-MIN(ROW($W$7:$W$165))+1,""),""),ROW()-ROW(A$167)+1))),),"")</f>
        <v/>
      </c>
    </row>
    <row r="321" customFormat="false" ht="13.8" hidden="false" customHeight="false" outlineLevel="0" collapsed="false">
      <c r="K321" s="0" t="str">
        <f aca="false">IFERROR(CONCATENATE(TEXT(INDEX($K$7:$K$165,SMALL(IF($N$7:$N$165&lt;&gt;"",IF($K$7:$K$165&lt;&gt;"",ROW($K$7:$K$165)-MIN(ROW($K$7:$K$165))+1,""),""),ROW()-ROW(A$167)+1)),"##0"),","),"")</f>
        <v/>
      </c>
      <c r="L321" s="0" t="str">
        <f aca="false">IFERROR(CONCATENATE((INDEX($N$7:$N$165,SMALL(IF($N$7:$N$165&lt;&gt;"",IF($K$7:$K$165&lt;&gt;"",ROW($K$7:$K$165)-MIN(ROW($K$7:$K$165))+1,""),""),ROW()-ROW(A$167)+1))),","),"")</f>
        <v/>
      </c>
      <c r="M321" s="0" t="str">
        <f aca="false">IFERROR(CONCATENATE((INDEX($A$7:$A$165,SMALL(IF($N$7:$N$165&lt;&gt;"",IF($K$7:$K$165&lt;&gt;"",ROW($K$7:$K$165)-MIN(ROW($K$7:$K$165))+1,""),""),ROW()-ROW(A$167)+1))),),"")</f>
        <v/>
      </c>
      <c r="Q321" s="0" t="str">
        <f aca="false">IFERROR(CONCATENATE((INDEX($T$7:$T$165,SMALL(IF($T$7:$T$165&lt;&gt;"",IF($Q$7:$Q$165&lt;&gt;"",ROW($Q$7:$Q$165)-MIN(ROW($Q$7:$Q$165))+1,""),""),ROW()-ROW(A$167)+1)))," "),"")</f>
        <v/>
      </c>
      <c r="R321" s="0" t="str">
        <f aca="false">IFERROR(CONCATENATE(TEXT(INDEX($Q$7:$Q$165,SMALL(IF($T$7:$T$165&lt;&gt;"",IF($Q$7:$Q$165&lt;&gt;"",ROW($Q$7:$Q$165)-MIN(ROW($Q$7:$Q$165))+1,""),""),ROW()-ROW(A$167)+1)),"##0")," "),"")</f>
        <v/>
      </c>
      <c r="S321" s="0" t="str">
        <f aca="false">IFERROR(CONCATENATE((INDEX($A$7:$A$165,SMALL(IF($T$7:$T$165&lt;&gt;"",IF($Q$7:$Q$165&lt;&gt;"",ROW($Q$7:$Q$165)-MIN(ROW($Q$7:$Q$165))+1,""),""),ROW()-ROW(A$167)+1))),),"")</f>
        <v/>
      </c>
      <c r="W321" s="0" t="str">
        <f aca="false">IFERROR(CONCATENATE((INDEX($Z$7:$Z$165,SMALL(IF($Z$7:$Z$165&lt;&gt;"",IF($W$7:$W$165&lt;&gt;"",ROW($W$7:$W$165)-MIN(ROW($W$7:$W$165))+1,""),""),ROW()-ROW(A$167)+1))),","),"")</f>
        <v/>
      </c>
      <c r="X321" s="0" t="str">
        <f aca="false">IFERROR(CONCATENATE(TEXT(INDEX($W$7:$W$165,SMALL(IF($Z$7:$Z$165&lt;&gt;"",IF($W$7:$W$165&lt;&gt;"",ROW($W$7:$W$165)-MIN(ROW($W$7:$W$165))+1,""),""),ROW()-ROW(A$167)+1)),"##0"),","),"")</f>
        <v/>
      </c>
      <c r="Y321" s="0" t="str">
        <f aca="false">IFERROR(CONCATENATE((INDEX($A$7:$A$165,SMALL(IF($Z$7:$Z$165&lt;&gt;"",IF($W$7:$W$165&lt;&gt;"",ROW($W$7:$W$165)-MIN(ROW($W$7:$W$165))+1,""),""),ROW()-ROW(A$167)+1))),),"")</f>
        <v/>
      </c>
    </row>
    <row r="322" customFormat="false" ht="13.8" hidden="false" customHeight="false" outlineLevel="0" collapsed="false">
      <c r="K322" s="0" t="str">
        <f aca="false">IFERROR(CONCATENATE(TEXT(INDEX($K$7:$K$165,SMALL(IF($N$7:$N$165&lt;&gt;"",IF($K$7:$K$165&lt;&gt;"",ROW($K$7:$K$165)-MIN(ROW($K$7:$K$165))+1,""),""),ROW()-ROW(A$167)+1)),"##0"),","),"")</f>
        <v/>
      </c>
      <c r="L322" s="0" t="str">
        <f aca="false">IFERROR(CONCATENATE((INDEX($N$7:$N$165,SMALL(IF($N$7:$N$165&lt;&gt;"",IF($K$7:$K$165&lt;&gt;"",ROW($K$7:$K$165)-MIN(ROW($K$7:$K$165))+1,""),""),ROW()-ROW(A$167)+1))),","),"")</f>
        <v/>
      </c>
      <c r="M322" s="0" t="str">
        <f aca="false">IFERROR(CONCATENATE((INDEX($A$7:$A$165,SMALL(IF($N$7:$N$165&lt;&gt;"",IF($K$7:$K$165&lt;&gt;"",ROW($K$7:$K$165)-MIN(ROW($K$7:$K$165))+1,""),""),ROW()-ROW(A$167)+1))),),"")</f>
        <v/>
      </c>
      <c r="Q322" s="0" t="str">
        <f aca="false">IFERROR(CONCATENATE((INDEX($T$7:$T$165,SMALL(IF($T$7:$T$165&lt;&gt;"",IF($Q$7:$Q$165&lt;&gt;"",ROW($Q$7:$Q$165)-MIN(ROW($Q$7:$Q$165))+1,""),""),ROW()-ROW(A$167)+1)))," "),"")</f>
        <v/>
      </c>
      <c r="R322" s="0" t="str">
        <f aca="false">IFERROR(CONCATENATE(TEXT(INDEX($Q$7:$Q$165,SMALL(IF($T$7:$T$165&lt;&gt;"",IF($Q$7:$Q$165&lt;&gt;"",ROW($Q$7:$Q$165)-MIN(ROW($Q$7:$Q$165))+1,""),""),ROW()-ROW(A$167)+1)),"##0")," "),"")</f>
        <v/>
      </c>
      <c r="S322" s="0" t="str">
        <f aca="false">IFERROR(CONCATENATE((INDEX($A$7:$A$165,SMALL(IF($T$7:$T$165&lt;&gt;"",IF($Q$7:$Q$165&lt;&gt;"",ROW($Q$7:$Q$165)-MIN(ROW($Q$7:$Q$165))+1,""),""),ROW()-ROW(A$167)+1))),),"")</f>
        <v/>
      </c>
      <c r="W322" s="0" t="str">
        <f aca="false">IFERROR(CONCATENATE((INDEX($Z$7:$Z$165,SMALL(IF($Z$7:$Z$165&lt;&gt;"",IF($W$7:$W$165&lt;&gt;"",ROW($W$7:$W$165)-MIN(ROW($W$7:$W$165))+1,""),""),ROW()-ROW(A$167)+1))),","),"")</f>
        <v/>
      </c>
      <c r="X322" s="0" t="str">
        <f aca="false">IFERROR(CONCATENATE(TEXT(INDEX($W$7:$W$165,SMALL(IF($Z$7:$Z$165&lt;&gt;"",IF($W$7:$W$165&lt;&gt;"",ROW($W$7:$W$165)-MIN(ROW($W$7:$W$165))+1,""),""),ROW()-ROW(A$167)+1)),"##0"),","),"")</f>
        <v/>
      </c>
      <c r="Y322" s="0" t="str">
        <f aca="false">IFERROR(CONCATENATE((INDEX($A$7:$A$165,SMALL(IF($Z$7:$Z$165&lt;&gt;"",IF($W$7:$W$165&lt;&gt;"",ROW($W$7:$W$165)-MIN(ROW($W$7:$W$165))+1,""),""),ROW()-ROW(A$167)+1))),),"")</f>
        <v/>
      </c>
    </row>
    <row r="323" customFormat="false" ht="13.8" hidden="false" customHeight="false" outlineLevel="0" collapsed="false">
      <c r="K323" s="0" t="str">
        <f aca="false">IFERROR(CONCATENATE(TEXT(INDEX($K$7:$K$165,SMALL(IF($N$7:$N$165&lt;&gt;"",IF($K$7:$K$165&lt;&gt;"",ROW($K$7:$K$165)-MIN(ROW($K$7:$K$165))+1,""),""),ROW()-ROW(A$167)+1)),"##0"),","),"")</f>
        <v/>
      </c>
      <c r="L323" s="0" t="str">
        <f aca="false">IFERROR(CONCATENATE((INDEX($N$7:$N$165,SMALL(IF($N$7:$N$165&lt;&gt;"",IF($K$7:$K$165&lt;&gt;"",ROW($K$7:$K$165)-MIN(ROW($K$7:$K$165))+1,""),""),ROW()-ROW(A$167)+1))),","),"")</f>
        <v/>
      </c>
      <c r="M323" s="0" t="str">
        <f aca="false">IFERROR(CONCATENATE((INDEX($A$7:$A$165,SMALL(IF($N$7:$N$165&lt;&gt;"",IF($K$7:$K$165&lt;&gt;"",ROW($K$7:$K$165)-MIN(ROW($K$7:$K$165))+1,""),""),ROW()-ROW(A$167)+1))),),"")</f>
        <v/>
      </c>
      <c r="Q323" s="0" t="str">
        <f aca="false">IFERROR(CONCATENATE((INDEX($T$7:$T$165,SMALL(IF($T$7:$T$165&lt;&gt;"",IF($Q$7:$Q$165&lt;&gt;"",ROW($Q$7:$Q$165)-MIN(ROW($Q$7:$Q$165))+1,""),""),ROW()-ROW(A$167)+1)))," "),"")</f>
        <v/>
      </c>
      <c r="R323" s="0" t="str">
        <f aca="false">IFERROR(CONCATENATE(TEXT(INDEX($Q$7:$Q$165,SMALL(IF($T$7:$T$165&lt;&gt;"",IF($Q$7:$Q$165&lt;&gt;"",ROW($Q$7:$Q$165)-MIN(ROW($Q$7:$Q$165))+1,""),""),ROW()-ROW(A$167)+1)),"##0")," "),"")</f>
        <v/>
      </c>
      <c r="S323" s="0" t="str">
        <f aca="false">IFERROR(CONCATENATE((INDEX($A$7:$A$165,SMALL(IF($T$7:$T$165&lt;&gt;"",IF($Q$7:$Q$165&lt;&gt;"",ROW($Q$7:$Q$165)-MIN(ROW($Q$7:$Q$165))+1,""),""),ROW()-ROW(A$167)+1))),),"")</f>
        <v/>
      </c>
      <c r="W323" s="0" t="str">
        <f aca="false">IFERROR(CONCATENATE((INDEX($Z$7:$Z$165,SMALL(IF($Z$7:$Z$165&lt;&gt;"",IF($W$7:$W$165&lt;&gt;"",ROW($W$7:$W$165)-MIN(ROW($W$7:$W$165))+1,""),""),ROW()-ROW(A$167)+1))),","),"")</f>
        <v/>
      </c>
      <c r="X323" s="0" t="str">
        <f aca="false">IFERROR(CONCATENATE(TEXT(INDEX($W$7:$W$165,SMALL(IF($Z$7:$Z$165&lt;&gt;"",IF($W$7:$W$165&lt;&gt;"",ROW($W$7:$W$165)-MIN(ROW($W$7:$W$165))+1,""),""),ROW()-ROW(A$167)+1)),"##0"),","),"")</f>
        <v/>
      </c>
      <c r="Y323" s="0" t="str">
        <f aca="false">IFERROR(CONCATENATE((INDEX($A$7:$A$165,SMALL(IF($Z$7:$Z$165&lt;&gt;"",IF($W$7:$W$165&lt;&gt;"",ROW($W$7:$W$165)-MIN(ROW($W$7:$W$165))+1,""),""),ROW()-ROW(A$167)+1))),),"")</f>
        <v/>
      </c>
    </row>
    <row r="324" customFormat="false" ht="13.8" hidden="false" customHeight="false" outlineLevel="0" collapsed="false">
      <c r="K324" s="0" t="str">
        <f aca="false">IFERROR(CONCATENATE(TEXT(INDEX($K$7:$K$165,SMALL(IF($N$7:$N$165&lt;&gt;"",IF($K$7:$K$165&lt;&gt;"",ROW($K$7:$K$165)-MIN(ROW($K$7:$K$165))+1,""),""),ROW()-ROW(A$167)+1)),"##0"),","),"")</f>
        <v/>
      </c>
      <c r="L324" s="0" t="str">
        <f aca="false">IFERROR(CONCATENATE((INDEX($N$7:$N$165,SMALL(IF($N$7:$N$165&lt;&gt;"",IF($K$7:$K$165&lt;&gt;"",ROW($K$7:$K$165)-MIN(ROW($K$7:$K$165))+1,""),""),ROW()-ROW(A$167)+1))),","),"")</f>
        <v/>
      </c>
      <c r="M324" s="0" t="str">
        <f aca="false">IFERROR(CONCATENATE((INDEX($A$7:$A$165,SMALL(IF($N$7:$N$165&lt;&gt;"",IF($K$7:$K$165&lt;&gt;"",ROW($K$7:$K$165)-MIN(ROW($K$7:$K$165))+1,""),""),ROW()-ROW(A$167)+1))),),"")</f>
        <v/>
      </c>
      <c r="Q324" s="0" t="str">
        <f aca="false">IFERROR(CONCATENATE((INDEX($T$7:$T$165,SMALL(IF($T$7:$T$165&lt;&gt;"",IF($Q$7:$Q$165&lt;&gt;"",ROW($Q$7:$Q$165)-MIN(ROW($Q$7:$Q$165))+1,""),""),ROW()-ROW(A$167)+1)))," "),"")</f>
        <v/>
      </c>
      <c r="R324" s="0" t="str">
        <f aca="false">IFERROR(CONCATENATE(TEXT(INDEX($Q$7:$Q$165,SMALL(IF($T$7:$T$165&lt;&gt;"",IF($Q$7:$Q$165&lt;&gt;"",ROW($Q$7:$Q$165)-MIN(ROW($Q$7:$Q$165))+1,""),""),ROW()-ROW(A$167)+1)),"##0")," "),"")</f>
        <v/>
      </c>
      <c r="S324" s="0" t="str">
        <f aca="false">IFERROR(CONCATENATE((INDEX($A$7:$A$165,SMALL(IF($T$7:$T$165&lt;&gt;"",IF($Q$7:$Q$165&lt;&gt;"",ROW($Q$7:$Q$165)-MIN(ROW($Q$7:$Q$165))+1,""),""),ROW()-ROW(A$167)+1))),),"")</f>
        <v/>
      </c>
      <c r="W324" s="0" t="str">
        <f aca="false">IFERROR(CONCATENATE((INDEX($Z$7:$Z$165,SMALL(IF($Z$7:$Z$165&lt;&gt;"",IF($W$7:$W$165&lt;&gt;"",ROW($W$7:$W$165)-MIN(ROW($W$7:$W$165))+1,""),""),ROW()-ROW(A$167)+1))),","),"")</f>
        <v/>
      </c>
      <c r="X324" s="0" t="str">
        <f aca="false">IFERROR(CONCATENATE(TEXT(INDEX($W$7:$W$165,SMALL(IF($Z$7:$Z$165&lt;&gt;"",IF($W$7:$W$165&lt;&gt;"",ROW($W$7:$W$165)-MIN(ROW($W$7:$W$165))+1,""),""),ROW()-ROW(A$167)+1)),"##0"),","),"")</f>
        <v/>
      </c>
      <c r="Y324" s="0" t="str">
        <f aca="false">IFERROR(CONCATENATE((INDEX($A$7:$A$165,SMALL(IF($Z$7:$Z$165&lt;&gt;"",IF($W$7:$W$165&lt;&gt;"",ROW($W$7:$W$165)-MIN(ROW($W$7:$W$165))+1,""),""),ROW()-ROW(A$167)+1))),),"")</f>
        <v/>
      </c>
    </row>
    <row r="325" customFormat="false" ht="13.8" hidden="false" customHeight="false" outlineLevel="0" collapsed="false">
      <c r="K325" s="0" t="str">
        <f aca="false">IFERROR(CONCATENATE(TEXT(INDEX($K$7:$K$165,SMALL(IF($N$7:$N$165&lt;&gt;"",IF($K$7:$K$165&lt;&gt;"",ROW($K$7:$K$165)-MIN(ROW($K$7:$K$165))+1,""),""),ROW()-ROW(A$167)+1)),"##0"),","),"")</f>
        <v/>
      </c>
      <c r="L325" s="0" t="str">
        <f aca="false">IFERROR(CONCATENATE((INDEX($N$7:$N$165,SMALL(IF($N$7:$N$165&lt;&gt;"",IF($K$7:$K$165&lt;&gt;"",ROW($K$7:$K$165)-MIN(ROW($K$7:$K$165))+1,""),""),ROW()-ROW(A$167)+1))),","),"")</f>
        <v/>
      </c>
      <c r="M325" s="0" t="str">
        <f aca="false">IFERROR(CONCATENATE((INDEX($A$7:$A$165,SMALL(IF($N$7:$N$165&lt;&gt;"",IF($K$7:$K$165&lt;&gt;"",ROW($K$7:$K$165)-MIN(ROW($K$7:$K$165))+1,""),""),ROW()-ROW(A$167)+1))),),"")</f>
        <v/>
      </c>
      <c r="Q325" s="0" t="str">
        <f aca="false">IFERROR(CONCATENATE((INDEX($T$7:$T$165,SMALL(IF($T$7:$T$165&lt;&gt;"",IF($Q$7:$Q$165&lt;&gt;"",ROW($Q$7:$Q$165)-MIN(ROW($Q$7:$Q$165))+1,""),""),ROW()-ROW(A$167)+1)))," "),"")</f>
        <v/>
      </c>
      <c r="R325" s="0" t="str">
        <f aca="false">IFERROR(CONCATENATE(TEXT(INDEX($Q$7:$Q$165,SMALL(IF($T$7:$T$165&lt;&gt;"",IF($Q$7:$Q$165&lt;&gt;"",ROW($Q$7:$Q$165)-MIN(ROW($Q$7:$Q$165))+1,""),""),ROW()-ROW(A$167)+1)),"##0")," "),"")</f>
        <v/>
      </c>
      <c r="S325" s="0" t="str">
        <f aca="false">IFERROR(CONCATENATE((INDEX($A$7:$A$165,SMALL(IF($T$7:$T$165&lt;&gt;"",IF($Q$7:$Q$165&lt;&gt;"",ROW($Q$7:$Q$165)-MIN(ROW($Q$7:$Q$165))+1,""),""),ROW()-ROW(A$167)+1))),),"")</f>
        <v/>
      </c>
      <c r="W325" s="0" t="str">
        <f aca="false">IFERROR(CONCATENATE((INDEX($Z$7:$Z$165,SMALL(IF($Z$7:$Z$165&lt;&gt;"",IF($W$7:$W$165&lt;&gt;"",ROW($W$7:$W$165)-MIN(ROW($W$7:$W$165))+1,""),""),ROW()-ROW(A$167)+1))),","),"")</f>
        <v/>
      </c>
      <c r="X325" s="0" t="str">
        <f aca="false">IFERROR(CONCATENATE(TEXT(INDEX($W$7:$W$165,SMALL(IF($Z$7:$Z$165&lt;&gt;"",IF($W$7:$W$165&lt;&gt;"",ROW($W$7:$W$165)-MIN(ROW($W$7:$W$165))+1,""),""),ROW()-ROW(A$167)+1)),"##0"),","),"")</f>
        <v/>
      </c>
      <c r="Y325" s="0" t="str">
        <f aca="false">IFERROR(CONCATENATE((INDEX($A$7:$A$165,SMALL(IF($Z$7:$Z$165&lt;&gt;"",IF($W$7:$W$165&lt;&gt;"",ROW($W$7:$W$165)-MIN(ROW($W$7:$W$165))+1,""),""),ROW()-ROW(A$167)+1))),),"")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100">
    <cfRule type="cellIs" priority="3" operator="lessThanOrEqual" aboveAverage="0" equalAverage="0" bottom="0" percent="0" rank="0" text="" dxfId="0">
      <formula>H100</formula>
    </cfRule>
  </conditionalFormatting>
  <conditionalFormatting sqref="L102">
    <cfRule type="cellIs" priority="4" operator="lessThanOrEqual" aboveAverage="0" equalAverage="0" bottom="0" percent="0" rank="0" text="" dxfId="0">
      <formula>H102</formula>
    </cfRule>
  </conditionalFormatting>
  <conditionalFormatting sqref="L103">
    <cfRule type="cellIs" priority="5" operator="lessThanOrEqual" aboveAverage="0" equalAverage="0" bottom="0" percent="0" rank="0" text="" dxfId="0">
      <formula>H103</formula>
    </cfRule>
  </conditionalFormatting>
  <conditionalFormatting sqref="L104">
    <cfRule type="cellIs" priority="6" operator="lessThanOrEqual" aboveAverage="0" equalAverage="0" bottom="0" percent="0" rank="0" text="" dxfId="0">
      <formula>H104</formula>
    </cfRule>
  </conditionalFormatting>
  <conditionalFormatting sqref="L105">
    <cfRule type="cellIs" priority="7" operator="lessThanOrEqual" aboveAverage="0" equalAverage="0" bottom="0" percent="0" rank="0" text="" dxfId="0">
      <formula>H105</formula>
    </cfRule>
  </conditionalFormatting>
  <conditionalFormatting sqref="L106">
    <cfRule type="cellIs" priority="8" operator="lessThanOrEqual" aboveAverage="0" equalAverage="0" bottom="0" percent="0" rank="0" text="" dxfId="0">
      <formula>H106</formula>
    </cfRule>
  </conditionalFormatting>
  <conditionalFormatting sqref="L107">
    <cfRule type="cellIs" priority="9" operator="lessThanOrEqual" aboveAverage="0" equalAverage="0" bottom="0" percent="0" rank="0" text="" dxfId="0">
      <formula>H107</formula>
    </cfRule>
  </conditionalFormatting>
  <conditionalFormatting sqref="L108">
    <cfRule type="cellIs" priority="10" operator="lessThanOrEqual" aboveAverage="0" equalAverage="0" bottom="0" percent="0" rank="0" text="" dxfId="0">
      <formula>H108</formula>
    </cfRule>
  </conditionalFormatting>
  <conditionalFormatting sqref="L109">
    <cfRule type="cellIs" priority="11" operator="lessThanOrEqual" aboveAverage="0" equalAverage="0" bottom="0" percent="0" rank="0" text="" dxfId="0">
      <formula>H109</formula>
    </cfRule>
  </conditionalFormatting>
  <conditionalFormatting sqref="L11">
    <cfRule type="cellIs" priority="12" operator="lessThanOrEqual" aboveAverage="0" equalAverage="0" bottom="0" percent="0" rank="0" text="" dxfId="0">
      <formula>H11</formula>
    </cfRule>
  </conditionalFormatting>
  <conditionalFormatting sqref="L110">
    <cfRule type="cellIs" priority="13" operator="lessThanOrEqual" aboveAverage="0" equalAverage="0" bottom="0" percent="0" rank="0" text="" dxfId="0">
      <formula>H110</formula>
    </cfRule>
  </conditionalFormatting>
  <conditionalFormatting sqref="L111">
    <cfRule type="cellIs" priority="14" operator="lessThanOrEqual" aboveAverage="0" equalAverage="0" bottom="0" percent="0" rank="0" text="" dxfId="0">
      <formula>H111</formula>
    </cfRule>
  </conditionalFormatting>
  <conditionalFormatting sqref="L112">
    <cfRule type="cellIs" priority="15" operator="lessThanOrEqual" aboveAverage="0" equalAverage="0" bottom="0" percent="0" rank="0" text="" dxfId="0">
      <formula>H112</formula>
    </cfRule>
  </conditionalFormatting>
  <conditionalFormatting sqref="L113">
    <cfRule type="cellIs" priority="16" operator="lessThanOrEqual" aboveAverage="0" equalAverage="0" bottom="0" percent="0" rank="0" text="" dxfId="0">
      <formula>H113</formula>
    </cfRule>
  </conditionalFormatting>
  <conditionalFormatting sqref="L114">
    <cfRule type="cellIs" priority="17" operator="lessThanOrEqual" aboveAverage="0" equalAverage="0" bottom="0" percent="0" rank="0" text="" dxfId="0">
      <formula>H114</formula>
    </cfRule>
  </conditionalFormatting>
  <conditionalFormatting sqref="L115">
    <cfRule type="cellIs" priority="18" operator="lessThanOrEqual" aboveAverage="0" equalAverage="0" bottom="0" percent="0" rank="0" text="" dxfId="0">
      <formula>H115</formula>
    </cfRule>
  </conditionalFormatting>
  <conditionalFormatting sqref="L116">
    <cfRule type="cellIs" priority="19" operator="lessThanOrEqual" aboveAverage="0" equalAverage="0" bottom="0" percent="0" rank="0" text="" dxfId="0">
      <formula>H116</formula>
    </cfRule>
  </conditionalFormatting>
  <conditionalFormatting sqref="L118">
    <cfRule type="cellIs" priority="20" operator="lessThanOrEqual" aboveAverage="0" equalAverage="0" bottom="0" percent="0" rank="0" text="" dxfId="0">
      <formula>H118</formula>
    </cfRule>
  </conditionalFormatting>
  <conditionalFormatting sqref="L119">
    <cfRule type="cellIs" priority="21" operator="lessThanOrEqual" aboveAverage="0" equalAverage="0" bottom="0" percent="0" rank="0" text="" dxfId="0">
      <formula>H119</formula>
    </cfRule>
  </conditionalFormatting>
  <conditionalFormatting sqref="L12">
    <cfRule type="cellIs" priority="22" operator="lessThanOrEqual" aboveAverage="0" equalAverage="0" bottom="0" percent="0" rank="0" text="" dxfId="0">
      <formula>H12</formula>
    </cfRule>
  </conditionalFormatting>
  <conditionalFormatting sqref="L120">
    <cfRule type="cellIs" priority="23" operator="lessThanOrEqual" aboveAverage="0" equalAverage="0" bottom="0" percent="0" rank="0" text="" dxfId="0">
      <formula>H120</formula>
    </cfRule>
  </conditionalFormatting>
  <conditionalFormatting sqref="L121">
    <cfRule type="cellIs" priority="24" operator="lessThanOrEqual" aboveAverage="0" equalAverage="0" bottom="0" percent="0" rank="0" text="" dxfId="0">
      <formula>H121</formula>
    </cfRule>
  </conditionalFormatting>
  <conditionalFormatting sqref="L122">
    <cfRule type="cellIs" priority="25" operator="lessThanOrEqual" aboveAverage="0" equalAverage="0" bottom="0" percent="0" rank="0" text="" dxfId="0">
      <formula>H122</formula>
    </cfRule>
  </conditionalFormatting>
  <conditionalFormatting sqref="L125">
    <cfRule type="cellIs" priority="26" operator="lessThanOrEqual" aboveAverage="0" equalAverage="0" bottom="0" percent="0" rank="0" text="" dxfId="0">
      <formula>H125</formula>
    </cfRule>
  </conditionalFormatting>
  <conditionalFormatting sqref="L127">
    <cfRule type="cellIs" priority="27" operator="lessThanOrEqual" aboveAverage="0" equalAverage="0" bottom="0" percent="0" rank="0" text="" dxfId="0">
      <formula>H127</formula>
    </cfRule>
  </conditionalFormatting>
  <conditionalFormatting sqref="L128">
    <cfRule type="cellIs" priority="28" operator="lessThanOrEqual" aboveAverage="0" equalAverage="0" bottom="0" percent="0" rank="0" text="" dxfId="0">
      <formula>H128</formula>
    </cfRule>
  </conditionalFormatting>
  <conditionalFormatting sqref="L130">
    <cfRule type="cellIs" priority="29" operator="lessThanOrEqual" aboveAverage="0" equalAverage="0" bottom="0" percent="0" rank="0" text="" dxfId="0">
      <formula>H130</formula>
    </cfRule>
  </conditionalFormatting>
  <conditionalFormatting sqref="L131">
    <cfRule type="cellIs" priority="30" operator="lessThanOrEqual" aboveAverage="0" equalAverage="0" bottom="0" percent="0" rank="0" text="" dxfId="0">
      <formula>H131</formula>
    </cfRule>
  </conditionalFormatting>
  <conditionalFormatting sqref="L132">
    <cfRule type="cellIs" priority="31" operator="lessThanOrEqual" aboveAverage="0" equalAverage="0" bottom="0" percent="0" rank="0" text="" dxfId="0">
      <formula>H132</formula>
    </cfRule>
  </conditionalFormatting>
  <conditionalFormatting sqref="L133">
    <cfRule type="cellIs" priority="32" operator="lessThanOrEqual" aboveAverage="0" equalAverage="0" bottom="0" percent="0" rank="0" text="" dxfId="0">
      <formula>H133</formula>
    </cfRule>
  </conditionalFormatting>
  <conditionalFormatting sqref="L135">
    <cfRule type="cellIs" priority="33" operator="lessThanOrEqual" aboveAverage="0" equalAverage="0" bottom="0" percent="0" rank="0" text="" dxfId="0">
      <formula>H135</formula>
    </cfRule>
  </conditionalFormatting>
  <conditionalFormatting sqref="L136">
    <cfRule type="cellIs" priority="34" operator="lessThanOrEqual" aboveAverage="0" equalAverage="0" bottom="0" percent="0" rank="0" text="" dxfId="0">
      <formula>H136</formula>
    </cfRule>
  </conditionalFormatting>
  <conditionalFormatting sqref="L137">
    <cfRule type="cellIs" priority="35" operator="lessThanOrEqual" aboveAverage="0" equalAverage="0" bottom="0" percent="0" rank="0" text="" dxfId="0">
      <formula>H137</formula>
    </cfRule>
  </conditionalFormatting>
  <conditionalFormatting sqref="L138">
    <cfRule type="cellIs" priority="36" operator="lessThanOrEqual" aboveAverage="0" equalAverage="0" bottom="0" percent="0" rank="0" text="" dxfId="0">
      <formula>H138</formula>
    </cfRule>
  </conditionalFormatting>
  <conditionalFormatting sqref="L139">
    <cfRule type="cellIs" priority="37" operator="lessThanOrEqual" aboveAverage="0" equalAverage="0" bottom="0" percent="0" rank="0" text="" dxfId="0">
      <formula>H139</formula>
    </cfRule>
  </conditionalFormatting>
  <conditionalFormatting sqref="L14">
    <cfRule type="cellIs" priority="38" operator="lessThanOrEqual" aboveAverage="0" equalAverage="0" bottom="0" percent="0" rank="0" text="" dxfId="0">
      <formula>H14</formula>
    </cfRule>
  </conditionalFormatting>
  <conditionalFormatting sqref="L140">
    <cfRule type="cellIs" priority="39" operator="lessThanOrEqual" aboveAverage="0" equalAverage="0" bottom="0" percent="0" rank="0" text="" dxfId="0">
      <formula>H140</formula>
    </cfRule>
  </conditionalFormatting>
  <conditionalFormatting sqref="L141">
    <cfRule type="cellIs" priority="40" operator="lessThanOrEqual" aboveAverage="0" equalAverage="0" bottom="0" percent="0" rank="0" text="" dxfId="0">
      <formula>H141</formula>
    </cfRule>
  </conditionalFormatting>
  <conditionalFormatting sqref="L142">
    <cfRule type="cellIs" priority="41" operator="lessThanOrEqual" aboveAverage="0" equalAverage="0" bottom="0" percent="0" rank="0" text="" dxfId="0">
      <formula>H142</formula>
    </cfRule>
  </conditionalFormatting>
  <conditionalFormatting sqref="L143">
    <cfRule type="cellIs" priority="42" operator="lessThanOrEqual" aboveAverage="0" equalAverage="0" bottom="0" percent="0" rank="0" text="" dxfId="0">
      <formula>H143</formula>
    </cfRule>
  </conditionalFormatting>
  <conditionalFormatting sqref="L144">
    <cfRule type="cellIs" priority="43" operator="lessThanOrEqual" aboveAverage="0" equalAverage="0" bottom="0" percent="0" rank="0" text="" dxfId="0">
      <formula>H144</formula>
    </cfRule>
  </conditionalFormatting>
  <conditionalFormatting sqref="L145">
    <cfRule type="cellIs" priority="44" operator="lessThanOrEqual" aboveAverage="0" equalAverage="0" bottom="0" percent="0" rank="0" text="" dxfId="0">
      <formula>H145</formula>
    </cfRule>
  </conditionalFormatting>
  <conditionalFormatting sqref="L146">
    <cfRule type="cellIs" priority="45" operator="lessThanOrEqual" aboveAverage="0" equalAverage="0" bottom="0" percent="0" rank="0" text="" dxfId="0">
      <formula>H146</formula>
    </cfRule>
  </conditionalFormatting>
  <conditionalFormatting sqref="L148">
    <cfRule type="cellIs" priority="46" operator="lessThanOrEqual" aboveAverage="0" equalAverage="0" bottom="0" percent="0" rank="0" text="" dxfId="0">
      <formula>H148</formula>
    </cfRule>
  </conditionalFormatting>
  <conditionalFormatting sqref="L149">
    <cfRule type="cellIs" priority="47" operator="lessThanOrEqual" aboveAverage="0" equalAverage="0" bottom="0" percent="0" rank="0" text="" dxfId="0">
      <formula>H149</formula>
    </cfRule>
  </conditionalFormatting>
  <conditionalFormatting sqref="L15">
    <cfRule type="cellIs" priority="48" operator="lessThanOrEqual" aboveAverage="0" equalAverage="0" bottom="0" percent="0" rank="0" text="" dxfId="0">
      <formula>H15</formula>
    </cfRule>
  </conditionalFormatting>
  <conditionalFormatting sqref="L150">
    <cfRule type="cellIs" priority="49" operator="lessThanOrEqual" aboveAverage="0" equalAverage="0" bottom="0" percent="0" rank="0" text="" dxfId="0">
      <formula>H150</formula>
    </cfRule>
  </conditionalFormatting>
  <conditionalFormatting sqref="L151">
    <cfRule type="cellIs" priority="50" operator="lessThanOrEqual" aboveAverage="0" equalAverage="0" bottom="0" percent="0" rank="0" text="" dxfId="0">
      <formula>H151</formula>
    </cfRule>
  </conditionalFormatting>
  <conditionalFormatting sqref="L152">
    <cfRule type="cellIs" priority="51" operator="lessThanOrEqual" aboveAverage="0" equalAverage="0" bottom="0" percent="0" rank="0" text="" dxfId="0">
      <formula>H152</formula>
    </cfRule>
  </conditionalFormatting>
  <conditionalFormatting sqref="L153">
    <cfRule type="cellIs" priority="52" operator="lessThanOrEqual" aboveAverage="0" equalAverage="0" bottom="0" percent="0" rank="0" text="" dxfId="0">
      <formula>H153</formula>
    </cfRule>
  </conditionalFormatting>
  <conditionalFormatting sqref="L154">
    <cfRule type="cellIs" priority="53" operator="lessThanOrEqual" aboveAverage="0" equalAverage="0" bottom="0" percent="0" rank="0" text="" dxfId="0">
      <formula>H154</formula>
    </cfRule>
  </conditionalFormatting>
  <conditionalFormatting sqref="L155">
    <cfRule type="cellIs" priority="54" operator="lessThanOrEqual" aboveAverage="0" equalAverage="0" bottom="0" percent="0" rank="0" text="" dxfId="0">
      <formula>H155</formula>
    </cfRule>
  </conditionalFormatting>
  <conditionalFormatting sqref="L156">
    <cfRule type="cellIs" priority="55" operator="lessThanOrEqual" aboveAverage="0" equalAverage="0" bottom="0" percent="0" rank="0" text="" dxfId="0">
      <formula>H156</formula>
    </cfRule>
  </conditionalFormatting>
  <conditionalFormatting sqref="L158">
    <cfRule type="cellIs" priority="56" operator="lessThanOrEqual" aboveAverage="0" equalAverage="0" bottom="0" percent="0" rank="0" text="" dxfId="0">
      <formula>H158</formula>
    </cfRule>
  </conditionalFormatting>
  <conditionalFormatting sqref="L16">
    <cfRule type="cellIs" priority="57" operator="lessThanOrEqual" aboveAverage="0" equalAverage="0" bottom="0" percent="0" rank="0" text="" dxfId="0">
      <formula>H16</formula>
    </cfRule>
  </conditionalFormatting>
  <conditionalFormatting sqref="L160">
    <cfRule type="cellIs" priority="58" operator="lessThanOrEqual" aboveAverage="0" equalAverage="0" bottom="0" percent="0" rank="0" text="" dxfId="0">
      <formula>H160</formula>
    </cfRule>
  </conditionalFormatting>
  <conditionalFormatting sqref="L161">
    <cfRule type="cellIs" priority="59" operator="lessThanOrEqual" aboveAverage="0" equalAverage="0" bottom="0" percent="0" rank="0" text="" dxfId="0">
      <formula>H161</formula>
    </cfRule>
  </conditionalFormatting>
  <conditionalFormatting sqref="L162">
    <cfRule type="cellIs" priority="60" operator="lessThanOrEqual" aboveAverage="0" equalAverage="0" bottom="0" percent="0" rank="0" text="" dxfId="0">
      <formula>H162</formula>
    </cfRule>
  </conditionalFormatting>
  <conditionalFormatting sqref="L163">
    <cfRule type="cellIs" priority="61" operator="lessThanOrEqual" aboveAverage="0" equalAverage="0" bottom="0" percent="0" rank="0" text="" dxfId="0">
      <formula>H163</formula>
    </cfRule>
  </conditionalFormatting>
  <conditionalFormatting sqref="L164">
    <cfRule type="cellIs" priority="62" operator="lessThanOrEqual" aboveAverage="0" equalAverage="0" bottom="0" percent="0" rank="0" text="" dxfId="0">
      <formula>H164</formula>
    </cfRule>
  </conditionalFormatting>
  <conditionalFormatting sqref="L165">
    <cfRule type="cellIs" priority="63" operator="lessThanOrEqual" aboveAverage="0" equalAverage="0" bottom="0" percent="0" rank="0" text="" dxfId="0">
      <formula>H165</formula>
    </cfRule>
  </conditionalFormatting>
  <conditionalFormatting sqref="L17">
    <cfRule type="cellIs" priority="64" operator="lessThanOrEqual" aboveAverage="0" equalAverage="0" bottom="0" percent="0" rank="0" text="" dxfId="0">
      <formula>H17</formula>
    </cfRule>
  </conditionalFormatting>
  <conditionalFormatting sqref="L18">
    <cfRule type="cellIs" priority="65" operator="lessThanOrEqual" aboveAverage="0" equalAverage="0" bottom="0" percent="0" rank="0" text="" dxfId="0">
      <formula>H18</formula>
    </cfRule>
  </conditionalFormatting>
  <conditionalFormatting sqref="L19">
    <cfRule type="cellIs" priority="66" operator="lessThanOrEqual" aboveAverage="0" equalAverage="0" bottom="0" percent="0" rank="0" text="" dxfId="0">
      <formula>H19</formula>
    </cfRule>
  </conditionalFormatting>
  <conditionalFormatting sqref="L20">
    <cfRule type="cellIs" priority="67" operator="lessThanOrEqual" aboveAverage="0" equalAverage="0" bottom="0" percent="0" rank="0" text="" dxfId="0">
      <formula>H20</formula>
    </cfRule>
  </conditionalFormatting>
  <conditionalFormatting sqref="L21">
    <cfRule type="cellIs" priority="68" operator="lessThanOrEqual" aboveAverage="0" equalAverage="0" bottom="0" percent="0" rank="0" text="" dxfId="0">
      <formula>H21</formula>
    </cfRule>
  </conditionalFormatting>
  <conditionalFormatting sqref="L22">
    <cfRule type="cellIs" priority="69" operator="lessThanOrEqual" aboveAverage="0" equalAverage="0" bottom="0" percent="0" rank="0" text="" dxfId="0">
      <formula>H22</formula>
    </cfRule>
  </conditionalFormatting>
  <conditionalFormatting sqref="L23">
    <cfRule type="cellIs" priority="70" operator="lessThanOrEqual" aboveAverage="0" equalAverage="0" bottom="0" percent="0" rank="0" text="" dxfId="0">
      <formula>H23</formula>
    </cfRule>
  </conditionalFormatting>
  <conditionalFormatting sqref="L24">
    <cfRule type="cellIs" priority="71" operator="lessThanOrEqual" aboveAverage="0" equalAverage="0" bottom="0" percent="0" rank="0" text="" dxfId="0">
      <formula>H24</formula>
    </cfRule>
  </conditionalFormatting>
  <conditionalFormatting sqref="L25">
    <cfRule type="cellIs" priority="72" operator="lessThanOrEqual" aboveAverage="0" equalAverage="0" bottom="0" percent="0" rank="0" text="" dxfId="0">
      <formula>H25</formula>
    </cfRule>
  </conditionalFormatting>
  <conditionalFormatting sqref="L27">
    <cfRule type="cellIs" priority="73" operator="lessThanOrEqual" aboveAverage="0" equalAverage="0" bottom="0" percent="0" rank="0" text="" dxfId="0">
      <formula>H27</formula>
    </cfRule>
  </conditionalFormatting>
  <conditionalFormatting sqref="L28">
    <cfRule type="cellIs" priority="74" operator="lessThanOrEqual" aboveAverage="0" equalAverage="0" bottom="0" percent="0" rank="0" text="" dxfId="0">
      <formula>H28</formula>
    </cfRule>
  </conditionalFormatting>
  <conditionalFormatting sqref="L29">
    <cfRule type="cellIs" priority="75" operator="lessThanOrEqual" aboveAverage="0" equalAverage="0" bottom="0" percent="0" rank="0" text="" dxfId="0">
      <formula>H29</formula>
    </cfRule>
  </conditionalFormatting>
  <conditionalFormatting sqref="L30">
    <cfRule type="cellIs" priority="76" operator="lessThanOrEqual" aboveAverage="0" equalAverage="0" bottom="0" percent="0" rank="0" text="" dxfId="0">
      <formula>H30</formula>
    </cfRule>
  </conditionalFormatting>
  <conditionalFormatting sqref="L31">
    <cfRule type="cellIs" priority="77" operator="lessThanOrEqual" aboveAverage="0" equalAverage="0" bottom="0" percent="0" rank="0" text="" dxfId="0">
      <formula>H31</formula>
    </cfRule>
  </conditionalFormatting>
  <conditionalFormatting sqref="L32">
    <cfRule type="cellIs" priority="78" operator="lessThanOrEqual" aboveAverage="0" equalAverage="0" bottom="0" percent="0" rank="0" text="" dxfId="0">
      <formula>H32</formula>
    </cfRule>
  </conditionalFormatting>
  <conditionalFormatting sqref="L33">
    <cfRule type="cellIs" priority="79" operator="lessThanOrEqual" aboveAverage="0" equalAverage="0" bottom="0" percent="0" rank="0" text="" dxfId="0">
      <formula>H33</formula>
    </cfRule>
  </conditionalFormatting>
  <conditionalFormatting sqref="L34">
    <cfRule type="cellIs" priority="80" operator="lessThanOrEqual" aboveAverage="0" equalAverage="0" bottom="0" percent="0" rank="0" text="" dxfId="0">
      <formula>H34</formula>
    </cfRule>
  </conditionalFormatting>
  <conditionalFormatting sqref="L35">
    <cfRule type="cellIs" priority="81" operator="lessThanOrEqual" aboveAverage="0" equalAverage="0" bottom="0" percent="0" rank="0" text="" dxfId="0">
      <formula>H35</formula>
    </cfRule>
  </conditionalFormatting>
  <conditionalFormatting sqref="L37">
    <cfRule type="cellIs" priority="82" operator="lessThanOrEqual" aboveAverage="0" equalAverage="0" bottom="0" percent="0" rank="0" text="" dxfId="0">
      <formula>H37</formula>
    </cfRule>
  </conditionalFormatting>
  <conditionalFormatting sqref="L38">
    <cfRule type="cellIs" priority="83" operator="lessThanOrEqual" aboveAverage="0" equalAverage="0" bottom="0" percent="0" rank="0" text="" dxfId="0">
      <formula>H38</formula>
    </cfRule>
  </conditionalFormatting>
  <conditionalFormatting sqref="L39">
    <cfRule type="cellIs" priority="84" operator="lessThanOrEqual" aboveAverage="0" equalAverage="0" bottom="0" percent="0" rank="0" text="" dxfId="0">
      <formula>H39</formula>
    </cfRule>
  </conditionalFormatting>
  <conditionalFormatting sqref="L40">
    <cfRule type="cellIs" priority="85" operator="lessThanOrEqual" aboveAverage="0" equalAverage="0" bottom="0" percent="0" rank="0" text="" dxfId="0">
      <formula>H40</formula>
    </cfRule>
  </conditionalFormatting>
  <conditionalFormatting sqref="L41">
    <cfRule type="cellIs" priority="86" operator="lessThanOrEqual" aboveAverage="0" equalAverage="0" bottom="0" percent="0" rank="0" text="" dxfId="0">
      <formula>H41</formula>
    </cfRule>
  </conditionalFormatting>
  <conditionalFormatting sqref="L43">
    <cfRule type="cellIs" priority="87" operator="lessThanOrEqual" aboveAverage="0" equalAverage="0" bottom="0" percent="0" rank="0" text="" dxfId="0">
      <formula>H43</formula>
    </cfRule>
  </conditionalFormatting>
  <conditionalFormatting sqref="L44">
    <cfRule type="cellIs" priority="88" operator="lessThanOrEqual" aboveAverage="0" equalAverage="0" bottom="0" percent="0" rank="0" text="" dxfId="0">
      <formula>H44</formula>
    </cfRule>
  </conditionalFormatting>
  <conditionalFormatting sqref="L45">
    <cfRule type="cellIs" priority="89" operator="lessThanOrEqual" aboveAverage="0" equalAverage="0" bottom="0" percent="0" rank="0" text="" dxfId="0">
      <formula>H45</formula>
    </cfRule>
  </conditionalFormatting>
  <conditionalFormatting sqref="L46">
    <cfRule type="cellIs" priority="90" operator="lessThanOrEqual" aboveAverage="0" equalAverage="0" bottom="0" percent="0" rank="0" text="" dxfId="0">
      <formula>H46</formula>
    </cfRule>
  </conditionalFormatting>
  <conditionalFormatting sqref="L47">
    <cfRule type="cellIs" priority="91" operator="lessThanOrEqual" aboveAverage="0" equalAverage="0" bottom="0" percent="0" rank="0" text="" dxfId="0">
      <formula>H47</formula>
    </cfRule>
  </conditionalFormatting>
  <conditionalFormatting sqref="L49">
    <cfRule type="cellIs" priority="92" operator="lessThanOrEqual" aboveAverage="0" equalAverage="0" bottom="0" percent="0" rank="0" text="" dxfId="0">
      <formula>H49</formula>
    </cfRule>
  </conditionalFormatting>
  <conditionalFormatting sqref="L50">
    <cfRule type="cellIs" priority="93" operator="lessThanOrEqual" aboveAverage="0" equalAverage="0" bottom="0" percent="0" rank="0" text="" dxfId="0">
      <formula>H50</formula>
    </cfRule>
  </conditionalFormatting>
  <conditionalFormatting sqref="L51">
    <cfRule type="cellIs" priority="94" operator="lessThanOrEqual" aboveAverage="0" equalAverage="0" bottom="0" percent="0" rank="0" text="" dxfId="0">
      <formula>H51</formula>
    </cfRule>
  </conditionalFormatting>
  <conditionalFormatting sqref="L52">
    <cfRule type="cellIs" priority="95" operator="lessThanOrEqual" aboveAverage="0" equalAverage="0" bottom="0" percent="0" rank="0" text="" dxfId="0">
      <formula>H52</formula>
    </cfRule>
  </conditionalFormatting>
  <conditionalFormatting sqref="L53">
    <cfRule type="cellIs" priority="96" operator="lessThanOrEqual" aboveAverage="0" equalAverage="0" bottom="0" percent="0" rank="0" text="" dxfId="0">
      <formula>H53</formula>
    </cfRule>
  </conditionalFormatting>
  <conditionalFormatting sqref="L54">
    <cfRule type="cellIs" priority="97" operator="lessThanOrEqual" aboveAverage="0" equalAverage="0" bottom="0" percent="0" rank="0" text="" dxfId="0">
      <formula>H54</formula>
    </cfRule>
  </conditionalFormatting>
  <conditionalFormatting sqref="L55">
    <cfRule type="cellIs" priority="98" operator="lessThanOrEqual" aboveAverage="0" equalAverage="0" bottom="0" percent="0" rank="0" text="" dxfId="0">
      <formula>H55</formula>
    </cfRule>
  </conditionalFormatting>
  <conditionalFormatting sqref="L56">
    <cfRule type="cellIs" priority="99" operator="lessThanOrEqual" aboveAverage="0" equalAverage="0" bottom="0" percent="0" rank="0" text="" dxfId="0">
      <formula>H56</formula>
    </cfRule>
  </conditionalFormatting>
  <conditionalFormatting sqref="L57">
    <cfRule type="cellIs" priority="100" operator="lessThanOrEqual" aboveAverage="0" equalAverage="0" bottom="0" percent="0" rank="0" text="" dxfId="0">
      <formula>H57</formula>
    </cfRule>
  </conditionalFormatting>
  <conditionalFormatting sqref="L58">
    <cfRule type="cellIs" priority="101" operator="lessThanOrEqual" aboveAverage="0" equalAverage="0" bottom="0" percent="0" rank="0" text="" dxfId="0">
      <formula>H58</formula>
    </cfRule>
  </conditionalFormatting>
  <conditionalFormatting sqref="L59">
    <cfRule type="cellIs" priority="102" operator="lessThanOrEqual" aboveAverage="0" equalAverage="0" bottom="0" percent="0" rank="0" text="" dxfId="0">
      <formula>H59</formula>
    </cfRule>
  </conditionalFormatting>
  <conditionalFormatting sqref="L60">
    <cfRule type="cellIs" priority="103" operator="lessThanOrEqual" aboveAverage="0" equalAverage="0" bottom="0" percent="0" rank="0" text="" dxfId="0">
      <formula>H60</formula>
    </cfRule>
  </conditionalFormatting>
  <conditionalFormatting sqref="L61">
    <cfRule type="cellIs" priority="104" operator="lessThanOrEqual" aboveAverage="0" equalAverage="0" bottom="0" percent="0" rank="0" text="" dxfId="0">
      <formula>H61</formula>
    </cfRule>
  </conditionalFormatting>
  <conditionalFormatting sqref="L62">
    <cfRule type="cellIs" priority="105" operator="lessThanOrEqual" aboveAverage="0" equalAverage="0" bottom="0" percent="0" rank="0" text="" dxfId="0">
      <formula>H62</formula>
    </cfRule>
  </conditionalFormatting>
  <conditionalFormatting sqref="L63">
    <cfRule type="cellIs" priority="106" operator="lessThanOrEqual" aboveAverage="0" equalAverage="0" bottom="0" percent="0" rank="0" text="" dxfId="0">
      <formula>H63</formula>
    </cfRule>
  </conditionalFormatting>
  <conditionalFormatting sqref="L64">
    <cfRule type="cellIs" priority="107" operator="lessThanOrEqual" aboveAverage="0" equalAverage="0" bottom="0" percent="0" rank="0" text="" dxfId="0">
      <formula>H64</formula>
    </cfRule>
  </conditionalFormatting>
  <conditionalFormatting sqref="L65">
    <cfRule type="cellIs" priority="108" operator="lessThanOrEqual" aboveAverage="0" equalAverage="0" bottom="0" percent="0" rank="0" text="" dxfId="0">
      <formula>H65</formula>
    </cfRule>
  </conditionalFormatting>
  <conditionalFormatting sqref="L66">
    <cfRule type="cellIs" priority="109" operator="lessThanOrEqual" aboveAverage="0" equalAverage="0" bottom="0" percent="0" rank="0" text="" dxfId="0">
      <formula>H66</formula>
    </cfRule>
  </conditionalFormatting>
  <conditionalFormatting sqref="L68">
    <cfRule type="cellIs" priority="110" operator="lessThanOrEqual" aboveAverage="0" equalAverage="0" bottom="0" percent="0" rank="0" text="" dxfId="0">
      <formula>H68</formula>
    </cfRule>
  </conditionalFormatting>
  <conditionalFormatting sqref="L69">
    <cfRule type="cellIs" priority="111" operator="lessThanOrEqual" aboveAverage="0" equalAverage="0" bottom="0" percent="0" rank="0" text="" dxfId="0">
      <formula>H69</formula>
    </cfRule>
  </conditionalFormatting>
  <conditionalFormatting sqref="L7">
    <cfRule type="cellIs" priority="112" operator="lessThanOrEqual" aboveAverage="0" equalAverage="0" bottom="0" percent="0" rank="0" text="" dxfId="0">
      <formula>H7</formula>
    </cfRule>
  </conditionalFormatting>
  <conditionalFormatting sqref="L70">
    <cfRule type="cellIs" priority="113" operator="lessThanOrEqual" aboveAverage="0" equalAverage="0" bottom="0" percent="0" rank="0" text="" dxfId="0">
      <formula>H70</formula>
    </cfRule>
  </conditionalFormatting>
  <conditionalFormatting sqref="L71">
    <cfRule type="cellIs" priority="114" operator="lessThanOrEqual" aboveAverage="0" equalAverage="0" bottom="0" percent="0" rank="0" text="" dxfId="0">
      <formula>H71</formula>
    </cfRule>
  </conditionalFormatting>
  <conditionalFormatting sqref="L73">
    <cfRule type="cellIs" priority="115" operator="lessThanOrEqual" aboveAverage="0" equalAverage="0" bottom="0" percent="0" rank="0" text="" dxfId="0">
      <formula>H73</formula>
    </cfRule>
  </conditionalFormatting>
  <conditionalFormatting sqref="L75">
    <cfRule type="cellIs" priority="116" operator="lessThanOrEqual" aboveAverage="0" equalAverage="0" bottom="0" percent="0" rank="0" text="" dxfId="0">
      <formula>H75</formula>
    </cfRule>
  </conditionalFormatting>
  <conditionalFormatting sqref="L76">
    <cfRule type="cellIs" priority="117" operator="lessThanOrEqual" aboveAverage="0" equalAverage="0" bottom="0" percent="0" rank="0" text="" dxfId="0">
      <formula>H76</formula>
    </cfRule>
  </conditionalFormatting>
  <conditionalFormatting sqref="L78">
    <cfRule type="cellIs" priority="118" operator="lessThanOrEqual" aboveAverage="0" equalAverage="0" bottom="0" percent="0" rank="0" text="" dxfId="0">
      <formula>H78</formula>
    </cfRule>
  </conditionalFormatting>
  <conditionalFormatting sqref="L79">
    <cfRule type="cellIs" priority="119" operator="lessThanOrEqual" aboveAverage="0" equalAverage="0" bottom="0" percent="0" rank="0" text="" dxfId="0">
      <formula>H79</formula>
    </cfRule>
  </conditionalFormatting>
  <conditionalFormatting sqref="L8">
    <cfRule type="cellIs" priority="120" operator="lessThanOrEqual" aboveAverage="0" equalAverage="0" bottom="0" percent="0" rank="0" text="" dxfId="0">
      <formula>H8</formula>
    </cfRule>
  </conditionalFormatting>
  <conditionalFormatting sqref="L80">
    <cfRule type="cellIs" priority="121" operator="lessThanOrEqual" aboveAverage="0" equalAverage="0" bottom="0" percent="0" rank="0" text="" dxfId="0">
      <formula>H80</formula>
    </cfRule>
  </conditionalFormatting>
  <conditionalFormatting sqref="L81">
    <cfRule type="cellIs" priority="122" operator="lessThanOrEqual" aboveAverage="0" equalAverage="0" bottom="0" percent="0" rank="0" text="" dxfId="0">
      <formula>H81</formula>
    </cfRule>
  </conditionalFormatting>
  <conditionalFormatting sqref="L82">
    <cfRule type="cellIs" priority="123" operator="lessThanOrEqual" aboveAverage="0" equalAverage="0" bottom="0" percent="0" rank="0" text="" dxfId="0">
      <formula>H82</formula>
    </cfRule>
  </conditionalFormatting>
  <conditionalFormatting sqref="L84">
    <cfRule type="cellIs" priority="124" operator="lessThanOrEqual" aboveAverage="0" equalAverage="0" bottom="0" percent="0" rank="0" text="" dxfId="0">
      <formula>H84</formula>
    </cfRule>
  </conditionalFormatting>
  <conditionalFormatting sqref="L85">
    <cfRule type="cellIs" priority="125" operator="lessThanOrEqual" aboveAverage="0" equalAverage="0" bottom="0" percent="0" rank="0" text="" dxfId="0">
      <formula>H85</formula>
    </cfRule>
  </conditionalFormatting>
  <conditionalFormatting sqref="L87">
    <cfRule type="cellIs" priority="126" operator="lessThanOrEqual" aboveAverage="0" equalAverage="0" bottom="0" percent="0" rank="0" text="" dxfId="0">
      <formula>H87</formula>
    </cfRule>
  </conditionalFormatting>
  <conditionalFormatting sqref="L88">
    <cfRule type="cellIs" priority="127" operator="lessThanOrEqual" aboveAverage="0" equalAverage="0" bottom="0" percent="0" rank="0" text="" dxfId="0">
      <formula>H88</formula>
    </cfRule>
  </conditionalFormatting>
  <conditionalFormatting sqref="L89">
    <cfRule type="cellIs" priority="128" operator="lessThanOrEqual" aboveAverage="0" equalAverage="0" bottom="0" percent="0" rank="0" text="" dxfId="0">
      <formula>H89</formula>
    </cfRule>
  </conditionalFormatting>
  <conditionalFormatting sqref="L9">
    <cfRule type="cellIs" priority="129" operator="lessThanOrEqual" aboveAverage="0" equalAverage="0" bottom="0" percent="0" rank="0" text="" dxfId="0">
      <formula>H9</formula>
    </cfRule>
  </conditionalFormatting>
  <conditionalFormatting sqref="L90">
    <cfRule type="cellIs" priority="130" operator="lessThanOrEqual" aboveAverage="0" equalAverage="0" bottom="0" percent="0" rank="0" text="" dxfId="0">
      <formula>H90</formula>
    </cfRule>
  </conditionalFormatting>
  <conditionalFormatting sqref="L92">
    <cfRule type="cellIs" priority="131" operator="lessThanOrEqual" aboveAverage="0" equalAverage="0" bottom="0" percent="0" rank="0" text="" dxfId="0">
      <formula>H92</formula>
    </cfRule>
  </conditionalFormatting>
  <conditionalFormatting sqref="L93">
    <cfRule type="cellIs" priority="132" operator="lessThanOrEqual" aboveAverage="0" equalAverage="0" bottom="0" percent="0" rank="0" text="" dxfId="0">
      <formula>H93</formula>
    </cfRule>
  </conditionalFormatting>
  <conditionalFormatting sqref="L96">
    <cfRule type="cellIs" priority="133" operator="lessThanOrEqual" aboveAverage="0" equalAverage="0" bottom="0" percent="0" rank="0" text="" dxfId="0">
      <formula>H96</formula>
    </cfRule>
  </conditionalFormatting>
  <conditionalFormatting sqref="L97">
    <cfRule type="cellIs" priority="134" operator="lessThanOrEqual" aboveAverage="0" equalAverage="0" bottom="0" percent="0" rank="0" text="" dxfId="0">
      <formula>H97</formula>
    </cfRule>
  </conditionalFormatting>
  <conditionalFormatting sqref="L98">
    <cfRule type="cellIs" priority="135" operator="lessThanOrEqual" aboveAverage="0" equalAverage="0" bottom="0" percent="0" rank="0" text="" dxfId="0">
      <formula>H98</formula>
    </cfRule>
  </conditionalFormatting>
  <conditionalFormatting sqref="L99">
    <cfRule type="cellIs" priority="136" operator="lessThanOrEqual" aboveAverage="0" equalAverage="0" bottom="0" percent="0" rank="0" text="" dxfId="0">
      <formula>H99</formula>
    </cfRule>
  </conditionalFormatting>
  <conditionalFormatting sqref="M10">
    <cfRule type="cellIs" priority="137" operator="lessThanOrEqual" aboveAverage="0" equalAverage="0" bottom="0" percent="0" rank="0" text="" dxfId="0">
      <formula>I10</formula>
    </cfRule>
  </conditionalFormatting>
  <conditionalFormatting sqref="M100">
    <cfRule type="cellIs" priority="138" operator="lessThanOrEqual" aboveAverage="0" equalAverage="0" bottom="0" percent="0" rank="0" text="" dxfId="0">
      <formula>I100</formula>
    </cfRule>
  </conditionalFormatting>
  <conditionalFormatting sqref="M102">
    <cfRule type="cellIs" priority="139" operator="lessThanOrEqual" aboveAverage="0" equalAverage="0" bottom="0" percent="0" rank="0" text="" dxfId="0">
      <formula>I102</formula>
    </cfRule>
  </conditionalFormatting>
  <conditionalFormatting sqref="M103">
    <cfRule type="cellIs" priority="140" operator="lessThanOrEqual" aboveAverage="0" equalAverage="0" bottom="0" percent="0" rank="0" text="" dxfId="0">
      <formula>I103</formula>
    </cfRule>
  </conditionalFormatting>
  <conditionalFormatting sqref="M104">
    <cfRule type="cellIs" priority="141" operator="lessThanOrEqual" aboveAverage="0" equalAverage="0" bottom="0" percent="0" rank="0" text="" dxfId="0">
      <formula>I104</formula>
    </cfRule>
  </conditionalFormatting>
  <conditionalFormatting sqref="M105">
    <cfRule type="cellIs" priority="142" operator="lessThanOrEqual" aboveAverage="0" equalAverage="0" bottom="0" percent="0" rank="0" text="" dxfId="0">
      <formula>I105</formula>
    </cfRule>
  </conditionalFormatting>
  <conditionalFormatting sqref="M106">
    <cfRule type="cellIs" priority="143" operator="lessThanOrEqual" aboveAverage="0" equalAverage="0" bottom="0" percent="0" rank="0" text="" dxfId="0">
      <formula>I106</formula>
    </cfRule>
  </conditionalFormatting>
  <conditionalFormatting sqref="M107">
    <cfRule type="cellIs" priority="144" operator="lessThanOrEqual" aboveAverage="0" equalAverage="0" bottom="0" percent="0" rank="0" text="" dxfId="0">
      <formula>I107</formula>
    </cfRule>
  </conditionalFormatting>
  <conditionalFormatting sqref="M108">
    <cfRule type="cellIs" priority="145" operator="lessThanOrEqual" aboveAverage="0" equalAverage="0" bottom="0" percent="0" rank="0" text="" dxfId="0">
      <formula>I108</formula>
    </cfRule>
  </conditionalFormatting>
  <conditionalFormatting sqref="M109">
    <cfRule type="cellIs" priority="146" operator="lessThanOrEqual" aboveAverage="0" equalAverage="0" bottom="0" percent="0" rank="0" text="" dxfId="0">
      <formula>I109</formula>
    </cfRule>
  </conditionalFormatting>
  <conditionalFormatting sqref="M11">
    <cfRule type="cellIs" priority="147" operator="lessThanOrEqual" aboveAverage="0" equalAverage="0" bottom="0" percent="0" rank="0" text="" dxfId="0">
      <formula>I11</formula>
    </cfRule>
  </conditionalFormatting>
  <conditionalFormatting sqref="M110">
    <cfRule type="cellIs" priority="148" operator="lessThanOrEqual" aboveAverage="0" equalAverage="0" bottom="0" percent="0" rank="0" text="" dxfId="0">
      <formula>I110</formula>
    </cfRule>
  </conditionalFormatting>
  <conditionalFormatting sqref="M111">
    <cfRule type="cellIs" priority="149" operator="lessThanOrEqual" aboveAverage="0" equalAverage="0" bottom="0" percent="0" rank="0" text="" dxfId="0">
      <formula>I111</formula>
    </cfRule>
  </conditionalFormatting>
  <conditionalFormatting sqref="M112">
    <cfRule type="cellIs" priority="150" operator="lessThanOrEqual" aboveAverage="0" equalAverage="0" bottom="0" percent="0" rank="0" text="" dxfId="0">
      <formula>I112</formula>
    </cfRule>
  </conditionalFormatting>
  <conditionalFormatting sqref="M113">
    <cfRule type="cellIs" priority="151" operator="lessThanOrEqual" aboveAverage="0" equalAverage="0" bottom="0" percent="0" rank="0" text="" dxfId="0">
      <formula>I113</formula>
    </cfRule>
  </conditionalFormatting>
  <conditionalFormatting sqref="M114">
    <cfRule type="cellIs" priority="152" operator="lessThanOrEqual" aboveAverage="0" equalAverage="0" bottom="0" percent="0" rank="0" text="" dxfId="0">
      <formula>I114</formula>
    </cfRule>
  </conditionalFormatting>
  <conditionalFormatting sqref="M115">
    <cfRule type="cellIs" priority="153" operator="lessThanOrEqual" aboveAverage="0" equalAverage="0" bottom="0" percent="0" rank="0" text="" dxfId="0">
      <formula>I115</formula>
    </cfRule>
  </conditionalFormatting>
  <conditionalFormatting sqref="M116">
    <cfRule type="cellIs" priority="154" operator="lessThanOrEqual" aboveAverage="0" equalAverage="0" bottom="0" percent="0" rank="0" text="" dxfId="0">
      <formula>I116</formula>
    </cfRule>
  </conditionalFormatting>
  <conditionalFormatting sqref="M118">
    <cfRule type="cellIs" priority="155" operator="lessThanOrEqual" aboveAverage="0" equalAverage="0" bottom="0" percent="0" rank="0" text="" dxfId="0">
      <formula>I118</formula>
    </cfRule>
  </conditionalFormatting>
  <conditionalFormatting sqref="M119">
    <cfRule type="cellIs" priority="156" operator="lessThanOrEqual" aboveAverage="0" equalAverage="0" bottom="0" percent="0" rank="0" text="" dxfId="0">
      <formula>I119</formula>
    </cfRule>
  </conditionalFormatting>
  <conditionalFormatting sqref="M12">
    <cfRule type="cellIs" priority="157" operator="lessThanOrEqual" aboveAverage="0" equalAverage="0" bottom="0" percent="0" rank="0" text="" dxfId="0">
      <formula>I12</formula>
    </cfRule>
  </conditionalFormatting>
  <conditionalFormatting sqref="M120">
    <cfRule type="cellIs" priority="158" operator="lessThanOrEqual" aboveAverage="0" equalAverage="0" bottom="0" percent="0" rank="0" text="" dxfId="0">
      <formula>I120</formula>
    </cfRule>
  </conditionalFormatting>
  <conditionalFormatting sqref="M121">
    <cfRule type="cellIs" priority="159" operator="lessThanOrEqual" aboveAverage="0" equalAverage="0" bottom="0" percent="0" rank="0" text="" dxfId="0">
      <formula>I121</formula>
    </cfRule>
  </conditionalFormatting>
  <conditionalFormatting sqref="M122">
    <cfRule type="cellIs" priority="160" operator="lessThanOrEqual" aboveAverage="0" equalAverage="0" bottom="0" percent="0" rank="0" text="" dxfId="0">
      <formula>I122</formula>
    </cfRule>
  </conditionalFormatting>
  <conditionalFormatting sqref="M125">
    <cfRule type="cellIs" priority="161" operator="lessThanOrEqual" aboveAverage="0" equalAverage="0" bottom="0" percent="0" rank="0" text="" dxfId="0">
      <formula>I125</formula>
    </cfRule>
  </conditionalFormatting>
  <conditionalFormatting sqref="M127">
    <cfRule type="cellIs" priority="162" operator="lessThanOrEqual" aboveAverage="0" equalAverage="0" bottom="0" percent="0" rank="0" text="" dxfId="0">
      <formula>I127</formula>
    </cfRule>
  </conditionalFormatting>
  <conditionalFormatting sqref="M128">
    <cfRule type="cellIs" priority="163" operator="lessThanOrEqual" aboveAverage="0" equalAverage="0" bottom="0" percent="0" rank="0" text="" dxfId="0">
      <formula>I128</formula>
    </cfRule>
  </conditionalFormatting>
  <conditionalFormatting sqref="M130">
    <cfRule type="cellIs" priority="164" operator="lessThanOrEqual" aboveAverage="0" equalAverage="0" bottom="0" percent="0" rank="0" text="" dxfId="0">
      <formula>I130</formula>
    </cfRule>
  </conditionalFormatting>
  <conditionalFormatting sqref="M131">
    <cfRule type="cellIs" priority="165" operator="lessThanOrEqual" aboveAverage="0" equalAverage="0" bottom="0" percent="0" rank="0" text="" dxfId="0">
      <formula>I131</formula>
    </cfRule>
  </conditionalFormatting>
  <conditionalFormatting sqref="M132">
    <cfRule type="cellIs" priority="166" operator="lessThanOrEqual" aboveAverage="0" equalAverage="0" bottom="0" percent="0" rank="0" text="" dxfId="0">
      <formula>I132</formula>
    </cfRule>
  </conditionalFormatting>
  <conditionalFormatting sqref="M133">
    <cfRule type="cellIs" priority="167" operator="lessThanOrEqual" aboveAverage="0" equalAverage="0" bottom="0" percent="0" rank="0" text="" dxfId="0">
      <formula>I133</formula>
    </cfRule>
  </conditionalFormatting>
  <conditionalFormatting sqref="M135">
    <cfRule type="cellIs" priority="168" operator="lessThanOrEqual" aboveAverage="0" equalAverage="0" bottom="0" percent="0" rank="0" text="" dxfId="0">
      <formula>I135</formula>
    </cfRule>
  </conditionalFormatting>
  <conditionalFormatting sqref="M136">
    <cfRule type="cellIs" priority="169" operator="lessThanOrEqual" aboveAverage="0" equalAverage="0" bottom="0" percent="0" rank="0" text="" dxfId="0">
      <formula>I136</formula>
    </cfRule>
  </conditionalFormatting>
  <conditionalFormatting sqref="M137">
    <cfRule type="cellIs" priority="170" operator="lessThanOrEqual" aboveAverage="0" equalAverage="0" bottom="0" percent="0" rank="0" text="" dxfId="0">
      <formula>I137</formula>
    </cfRule>
  </conditionalFormatting>
  <conditionalFormatting sqref="M138">
    <cfRule type="cellIs" priority="171" operator="lessThanOrEqual" aboveAverage="0" equalAverage="0" bottom="0" percent="0" rank="0" text="" dxfId="0">
      <formula>I138</formula>
    </cfRule>
  </conditionalFormatting>
  <conditionalFormatting sqref="M139">
    <cfRule type="cellIs" priority="172" operator="lessThanOrEqual" aboveAverage="0" equalAverage="0" bottom="0" percent="0" rank="0" text="" dxfId="0">
      <formula>I139</formula>
    </cfRule>
  </conditionalFormatting>
  <conditionalFormatting sqref="M14">
    <cfRule type="cellIs" priority="173" operator="lessThanOrEqual" aboveAverage="0" equalAverage="0" bottom="0" percent="0" rank="0" text="" dxfId="0">
      <formula>I14</formula>
    </cfRule>
  </conditionalFormatting>
  <conditionalFormatting sqref="M140">
    <cfRule type="cellIs" priority="174" operator="lessThanOrEqual" aboveAverage="0" equalAverage="0" bottom="0" percent="0" rank="0" text="" dxfId="0">
      <formula>I140</formula>
    </cfRule>
  </conditionalFormatting>
  <conditionalFormatting sqref="M141">
    <cfRule type="cellIs" priority="175" operator="lessThanOrEqual" aboveAverage="0" equalAverage="0" bottom="0" percent="0" rank="0" text="" dxfId="0">
      <formula>I141</formula>
    </cfRule>
  </conditionalFormatting>
  <conditionalFormatting sqref="M142">
    <cfRule type="cellIs" priority="176" operator="lessThanOrEqual" aboveAverage="0" equalAverage="0" bottom="0" percent="0" rank="0" text="" dxfId="0">
      <formula>I142</formula>
    </cfRule>
  </conditionalFormatting>
  <conditionalFormatting sqref="M143">
    <cfRule type="cellIs" priority="177" operator="lessThanOrEqual" aboveAverage="0" equalAverage="0" bottom="0" percent="0" rank="0" text="" dxfId="0">
      <formula>I143</formula>
    </cfRule>
  </conditionalFormatting>
  <conditionalFormatting sqref="M144">
    <cfRule type="cellIs" priority="178" operator="lessThanOrEqual" aboveAverage="0" equalAverage="0" bottom="0" percent="0" rank="0" text="" dxfId="0">
      <formula>I144</formula>
    </cfRule>
  </conditionalFormatting>
  <conditionalFormatting sqref="M145">
    <cfRule type="cellIs" priority="179" operator="lessThanOrEqual" aboveAverage="0" equalAverage="0" bottom="0" percent="0" rank="0" text="" dxfId="0">
      <formula>I145</formula>
    </cfRule>
  </conditionalFormatting>
  <conditionalFormatting sqref="M146">
    <cfRule type="cellIs" priority="180" operator="lessThanOrEqual" aboveAverage="0" equalAverage="0" bottom="0" percent="0" rank="0" text="" dxfId="0">
      <formula>I146</formula>
    </cfRule>
  </conditionalFormatting>
  <conditionalFormatting sqref="M148">
    <cfRule type="cellIs" priority="181" operator="lessThanOrEqual" aboveAverage="0" equalAverage="0" bottom="0" percent="0" rank="0" text="" dxfId="0">
      <formula>I148</formula>
    </cfRule>
  </conditionalFormatting>
  <conditionalFormatting sqref="M149">
    <cfRule type="cellIs" priority="182" operator="lessThanOrEqual" aboveAverage="0" equalAverage="0" bottom="0" percent="0" rank="0" text="" dxfId="0">
      <formula>I149</formula>
    </cfRule>
  </conditionalFormatting>
  <conditionalFormatting sqref="M15">
    <cfRule type="cellIs" priority="183" operator="lessThanOrEqual" aboveAverage="0" equalAverage="0" bottom="0" percent="0" rank="0" text="" dxfId="0">
      <formula>I15</formula>
    </cfRule>
  </conditionalFormatting>
  <conditionalFormatting sqref="M150">
    <cfRule type="cellIs" priority="184" operator="lessThanOrEqual" aboveAverage="0" equalAverage="0" bottom="0" percent="0" rank="0" text="" dxfId="0">
      <formula>I150</formula>
    </cfRule>
  </conditionalFormatting>
  <conditionalFormatting sqref="M151">
    <cfRule type="cellIs" priority="185" operator="lessThanOrEqual" aboveAverage="0" equalAverage="0" bottom="0" percent="0" rank="0" text="" dxfId="0">
      <formula>I151</formula>
    </cfRule>
  </conditionalFormatting>
  <conditionalFormatting sqref="M152">
    <cfRule type="cellIs" priority="186" operator="lessThanOrEqual" aboveAverage="0" equalAverage="0" bottom="0" percent="0" rank="0" text="" dxfId="0">
      <formula>I152</formula>
    </cfRule>
  </conditionalFormatting>
  <conditionalFormatting sqref="M153">
    <cfRule type="cellIs" priority="187" operator="lessThanOrEqual" aboveAverage="0" equalAverage="0" bottom="0" percent="0" rank="0" text="" dxfId="0">
      <formula>I153</formula>
    </cfRule>
  </conditionalFormatting>
  <conditionalFormatting sqref="M154">
    <cfRule type="cellIs" priority="188" operator="lessThanOrEqual" aboveAverage="0" equalAverage="0" bottom="0" percent="0" rank="0" text="" dxfId="0">
      <formula>I154</formula>
    </cfRule>
  </conditionalFormatting>
  <conditionalFormatting sqref="M155">
    <cfRule type="cellIs" priority="189" operator="lessThanOrEqual" aboveAverage="0" equalAverage="0" bottom="0" percent="0" rank="0" text="" dxfId="0">
      <formula>I155</formula>
    </cfRule>
  </conditionalFormatting>
  <conditionalFormatting sqref="M156">
    <cfRule type="cellIs" priority="190" operator="lessThanOrEqual" aboveAverage="0" equalAverage="0" bottom="0" percent="0" rank="0" text="" dxfId="0">
      <formula>I156</formula>
    </cfRule>
  </conditionalFormatting>
  <conditionalFormatting sqref="M158">
    <cfRule type="cellIs" priority="191" operator="lessThanOrEqual" aboveAverage="0" equalAverage="0" bottom="0" percent="0" rank="0" text="" dxfId="0">
      <formula>I158</formula>
    </cfRule>
  </conditionalFormatting>
  <conditionalFormatting sqref="M16">
    <cfRule type="cellIs" priority="192" operator="lessThanOrEqual" aboveAverage="0" equalAverage="0" bottom="0" percent="0" rank="0" text="" dxfId="0">
      <formula>I16</formula>
    </cfRule>
  </conditionalFormatting>
  <conditionalFormatting sqref="M160">
    <cfRule type="cellIs" priority="193" operator="lessThanOrEqual" aboveAverage="0" equalAverage="0" bottom="0" percent="0" rank="0" text="" dxfId="0">
      <formula>I160</formula>
    </cfRule>
  </conditionalFormatting>
  <conditionalFormatting sqref="M161">
    <cfRule type="cellIs" priority="194" operator="lessThanOrEqual" aboveAverage="0" equalAverage="0" bottom="0" percent="0" rank="0" text="" dxfId="0">
      <formula>I161</formula>
    </cfRule>
  </conditionalFormatting>
  <conditionalFormatting sqref="M162">
    <cfRule type="cellIs" priority="195" operator="lessThanOrEqual" aboveAverage="0" equalAverage="0" bottom="0" percent="0" rank="0" text="" dxfId="0">
      <formula>I162</formula>
    </cfRule>
  </conditionalFormatting>
  <conditionalFormatting sqref="M163">
    <cfRule type="cellIs" priority="196" operator="lessThanOrEqual" aboveAverage="0" equalAverage="0" bottom="0" percent="0" rank="0" text="" dxfId="0">
      <formula>I163</formula>
    </cfRule>
  </conditionalFormatting>
  <conditionalFormatting sqref="M164">
    <cfRule type="cellIs" priority="197" operator="lessThanOrEqual" aboveAverage="0" equalAverage="0" bottom="0" percent="0" rank="0" text="" dxfId="0">
      <formula>I164</formula>
    </cfRule>
  </conditionalFormatting>
  <conditionalFormatting sqref="M165">
    <cfRule type="cellIs" priority="198" operator="lessThanOrEqual" aboveAverage="0" equalAverage="0" bottom="0" percent="0" rank="0" text="" dxfId="0">
      <formula>I165</formula>
    </cfRule>
  </conditionalFormatting>
  <conditionalFormatting sqref="M17">
    <cfRule type="cellIs" priority="199" operator="lessThanOrEqual" aboveAverage="0" equalAverage="0" bottom="0" percent="0" rank="0" text="" dxfId="0">
      <formula>I17</formula>
    </cfRule>
  </conditionalFormatting>
  <conditionalFormatting sqref="M18">
    <cfRule type="cellIs" priority="200" operator="lessThanOrEqual" aboveAverage="0" equalAverage="0" bottom="0" percent="0" rank="0" text="" dxfId="0">
      <formula>I18</formula>
    </cfRule>
  </conditionalFormatting>
  <conditionalFormatting sqref="M19">
    <cfRule type="cellIs" priority="201" operator="lessThanOrEqual" aboveAverage="0" equalAverage="0" bottom="0" percent="0" rank="0" text="" dxfId="0">
      <formula>I19</formula>
    </cfRule>
  </conditionalFormatting>
  <conditionalFormatting sqref="M20">
    <cfRule type="cellIs" priority="202" operator="lessThanOrEqual" aboveAverage="0" equalAverage="0" bottom="0" percent="0" rank="0" text="" dxfId="0">
      <formula>I20</formula>
    </cfRule>
  </conditionalFormatting>
  <conditionalFormatting sqref="M21">
    <cfRule type="cellIs" priority="203" operator="lessThanOrEqual" aboveAverage="0" equalAverage="0" bottom="0" percent="0" rank="0" text="" dxfId="0">
      <formula>I21</formula>
    </cfRule>
  </conditionalFormatting>
  <conditionalFormatting sqref="M22">
    <cfRule type="cellIs" priority="204" operator="lessThanOrEqual" aboveAverage="0" equalAverage="0" bottom="0" percent="0" rank="0" text="" dxfId="0">
      <formula>I22</formula>
    </cfRule>
  </conditionalFormatting>
  <conditionalFormatting sqref="M23">
    <cfRule type="cellIs" priority="205" operator="lessThanOrEqual" aboveAverage="0" equalAverage="0" bottom="0" percent="0" rank="0" text="" dxfId="0">
      <formula>I23</formula>
    </cfRule>
  </conditionalFormatting>
  <conditionalFormatting sqref="M24">
    <cfRule type="cellIs" priority="206" operator="lessThanOrEqual" aboveAverage="0" equalAverage="0" bottom="0" percent="0" rank="0" text="" dxfId="0">
      <formula>I24</formula>
    </cfRule>
  </conditionalFormatting>
  <conditionalFormatting sqref="M25">
    <cfRule type="cellIs" priority="207" operator="lessThanOrEqual" aboveAverage="0" equalAverage="0" bottom="0" percent="0" rank="0" text="" dxfId="0">
      <formula>I25</formula>
    </cfRule>
  </conditionalFormatting>
  <conditionalFormatting sqref="M27">
    <cfRule type="cellIs" priority="208" operator="lessThanOrEqual" aboveAverage="0" equalAverage="0" bottom="0" percent="0" rank="0" text="" dxfId="0">
      <formula>I27</formula>
    </cfRule>
  </conditionalFormatting>
  <conditionalFormatting sqref="M28">
    <cfRule type="cellIs" priority="209" operator="lessThanOrEqual" aboveAverage="0" equalAverage="0" bottom="0" percent="0" rank="0" text="" dxfId="0">
      <formula>I28</formula>
    </cfRule>
  </conditionalFormatting>
  <conditionalFormatting sqref="M29">
    <cfRule type="cellIs" priority="210" operator="lessThanOrEqual" aboveAverage="0" equalAverage="0" bottom="0" percent="0" rank="0" text="" dxfId="0">
      <formula>I29</formula>
    </cfRule>
  </conditionalFormatting>
  <conditionalFormatting sqref="M30">
    <cfRule type="cellIs" priority="211" operator="lessThanOrEqual" aboveAverage="0" equalAverage="0" bottom="0" percent="0" rank="0" text="" dxfId="0">
      <formula>I30</formula>
    </cfRule>
  </conditionalFormatting>
  <conditionalFormatting sqref="M31">
    <cfRule type="cellIs" priority="212" operator="lessThanOrEqual" aboveAverage="0" equalAverage="0" bottom="0" percent="0" rank="0" text="" dxfId="0">
      <formula>I31</formula>
    </cfRule>
  </conditionalFormatting>
  <conditionalFormatting sqref="M32">
    <cfRule type="cellIs" priority="213" operator="lessThanOrEqual" aboveAverage="0" equalAverage="0" bottom="0" percent="0" rank="0" text="" dxfId="0">
      <formula>I32</formula>
    </cfRule>
  </conditionalFormatting>
  <conditionalFormatting sqref="M33">
    <cfRule type="cellIs" priority="214" operator="lessThanOrEqual" aboveAverage="0" equalAverage="0" bottom="0" percent="0" rank="0" text="" dxfId="0">
      <formula>I33</formula>
    </cfRule>
  </conditionalFormatting>
  <conditionalFormatting sqref="M34">
    <cfRule type="cellIs" priority="215" operator="lessThanOrEqual" aboveAverage="0" equalAverage="0" bottom="0" percent="0" rank="0" text="" dxfId="0">
      <formula>I34</formula>
    </cfRule>
  </conditionalFormatting>
  <conditionalFormatting sqref="M35">
    <cfRule type="cellIs" priority="216" operator="lessThanOrEqual" aboveAverage="0" equalAverage="0" bottom="0" percent="0" rank="0" text="" dxfId="0">
      <formula>I35</formula>
    </cfRule>
  </conditionalFormatting>
  <conditionalFormatting sqref="M37">
    <cfRule type="cellIs" priority="217" operator="lessThanOrEqual" aboveAverage="0" equalAverage="0" bottom="0" percent="0" rank="0" text="" dxfId="0">
      <formula>I37</formula>
    </cfRule>
  </conditionalFormatting>
  <conditionalFormatting sqref="M38">
    <cfRule type="cellIs" priority="218" operator="lessThanOrEqual" aboveAverage="0" equalAverage="0" bottom="0" percent="0" rank="0" text="" dxfId="0">
      <formula>I38</formula>
    </cfRule>
  </conditionalFormatting>
  <conditionalFormatting sqref="M39">
    <cfRule type="cellIs" priority="219" operator="lessThanOrEqual" aboveAverage="0" equalAverage="0" bottom="0" percent="0" rank="0" text="" dxfId="0">
      <formula>I39</formula>
    </cfRule>
  </conditionalFormatting>
  <conditionalFormatting sqref="M40">
    <cfRule type="cellIs" priority="220" operator="lessThanOrEqual" aboveAverage="0" equalAverage="0" bottom="0" percent="0" rank="0" text="" dxfId="0">
      <formula>I40</formula>
    </cfRule>
  </conditionalFormatting>
  <conditionalFormatting sqref="M41">
    <cfRule type="cellIs" priority="221" operator="lessThanOrEqual" aboveAverage="0" equalAverage="0" bottom="0" percent="0" rank="0" text="" dxfId="0">
      <formula>I41</formula>
    </cfRule>
  </conditionalFormatting>
  <conditionalFormatting sqref="M43">
    <cfRule type="cellIs" priority="222" operator="lessThanOrEqual" aboveAverage="0" equalAverage="0" bottom="0" percent="0" rank="0" text="" dxfId="0">
      <formula>I43</formula>
    </cfRule>
  </conditionalFormatting>
  <conditionalFormatting sqref="M44">
    <cfRule type="cellIs" priority="223" operator="lessThanOrEqual" aboveAverage="0" equalAverage="0" bottom="0" percent="0" rank="0" text="" dxfId="0">
      <formula>I44</formula>
    </cfRule>
  </conditionalFormatting>
  <conditionalFormatting sqref="M45">
    <cfRule type="cellIs" priority="224" operator="lessThanOrEqual" aboveAverage="0" equalAverage="0" bottom="0" percent="0" rank="0" text="" dxfId="0">
      <formula>I45</formula>
    </cfRule>
  </conditionalFormatting>
  <conditionalFormatting sqref="M46">
    <cfRule type="cellIs" priority="225" operator="lessThanOrEqual" aboveAverage="0" equalAverage="0" bottom="0" percent="0" rank="0" text="" dxfId="0">
      <formula>I46</formula>
    </cfRule>
  </conditionalFormatting>
  <conditionalFormatting sqref="M47">
    <cfRule type="cellIs" priority="226" operator="lessThanOrEqual" aboveAverage="0" equalAverage="0" bottom="0" percent="0" rank="0" text="" dxfId="0">
      <formula>I47</formula>
    </cfRule>
  </conditionalFormatting>
  <conditionalFormatting sqref="M49">
    <cfRule type="cellIs" priority="227" operator="lessThanOrEqual" aboveAverage="0" equalAverage="0" bottom="0" percent="0" rank="0" text="" dxfId="0">
      <formula>I49</formula>
    </cfRule>
  </conditionalFormatting>
  <conditionalFormatting sqref="M50">
    <cfRule type="cellIs" priority="228" operator="lessThanOrEqual" aboveAverage="0" equalAverage="0" bottom="0" percent="0" rank="0" text="" dxfId="0">
      <formula>I50</formula>
    </cfRule>
  </conditionalFormatting>
  <conditionalFormatting sqref="M51">
    <cfRule type="cellIs" priority="229" operator="lessThanOrEqual" aboveAverage="0" equalAverage="0" bottom="0" percent="0" rank="0" text="" dxfId="0">
      <formula>I51</formula>
    </cfRule>
  </conditionalFormatting>
  <conditionalFormatting sqref="M52">
    <cfRule type="cellIs" priority="230" operator="lessThanOrEqual" aboveAverage="0" equalAverage="0" bottom="0" percent="0" rank="0" text="" dxfId="0">
      <formula>I52</formula>
    </cfRule>
  </conditionalFormatting>
  <conditionalFormatting sqref="M53">
    <cfRule type="cellIs" priority="231" operator="lessThanOrEqual" aboveAverage="0" equalAverage="0" bottom="0" percent="0" rank="0" text="" dxfId="0">
      <formula>I53</formula>
    </cfRule>
  </conditionalFormatting>
  <conditionalFormatting sqref="M54">
    <cfRule type="cellIs" priority="232" operator="lessThanOrEqual" aboveAverage="0" equalAverage="0" bottom="0" percent="0" rank="0" text="" dxfId="0">
      <formula>I54</formula>
    </cfRule>
  </conditionalFormatting>
  <conditionalFormatting sqref="M55">
    <cfRule type="cellIs" priority="233" operator="lessThanOrEqual" aboveAverage="0" equalAverage="0" bottom="0" percent="0" rank="0" text="" dxfId="0">
      <formula>I55</formula>
    </cfRule>
  </conditionalFormatting>
  <conditionalFormatting sqref="M56">
    <cfRule type="cellIs" priority="234" operator="lessThanOrEqual" aboveAverage="0" equalAverage="0" bottom="0" percent="0" rank="0" text="" dxfId="0">
      <formula>I56</formula>
    </cfRule>
  </conditionalFormatting>
  <conditionalFormatting sqref="M57">
    <cfRule type="cellIs" priority="235" operator="lessThanOrEqual" aboveAverage="0" equalAverage="0" bottom="0" percent="0" rank="0" text="" dxfId="0">
      <formula>I57</formula>
    </cfRule>
  </conditionalFormatting>
  <conditionalFormatting sqref="M58">
    <cfRule type="cellIs" priority="236" operator="lessThanOrEqual" aboveAverage="0" equalAverage="0" bottom="0" percent="0" rank="0" text="" dxfId="0">
      <formula>I58</formula>
    </cfRule>
  </conditionalFormatting>
  <conditionalFormatting sqref="M59">
    <cfRule type="cellIs" priority="237" operator="lessThanOrEqual" aboveAverage="0" equalAverage="0" bottom="0" percent="0" rank="0" text="" dxfId="0">
      <formula>I59</formula>
    </cfRule>
  </conditionalFormatting>
  <conditionalFormatting sqref="M60">
    <cfRule type="cellIs" priority="238" operator="lessThanOrEqual" aboveAverage="0" equalAverage="0" bottom="0" percent="0" rank="0" text="" dxfId="0">
      <formula>I60</formula>
    </cfRule>
  </conditionalFormatting>
  <conditionalFormatting sqref="M61">
    <cfRule type="cellIs" priority="239" operator="lessThanOrEqual" aboveAverage="0" equalAverage="0" bottom="0" percent="0" rank="0" text="" dxfId="0">
      <formula>I61</formula>
    </cfRule>
  </conditionalFormatting>
  <conditionalFormatting sqref="M62">
    <cfRule type="cellIs" priority="240" operator="lessThanOrEqual" aboveAverage="0" equalAverage="0" bottom="0" percent="0" rank="0" text="" dxfId="0">
      <formula>I62</formula>
    </cfRule>
  </conditionalFormatting>
  <conditionalFormatting sqref="M63">
    <cfRule type="cellIs" priority="241" operator="lessThanOrEqual" aboveAverage="0" equalAverage="0" bottom="0" percent="0" rank="0" text="" dxfId="0">
      <formula>I63</formula>
    </cfRule>
  </conditionalFormatting>
  <conditionalFormatting sqref="M64">
    <cfRule type="cellIs" priority="242" operator="lessThanOrEqual" aboveAverage="0" equalAverage="0" bottom="0" percent="0" rank="0" text="" dxfId="0">
      <formula>I64</formula>
    </cfRule>
  </conditionalFormatting>
  <conditionalFormatting sqref="M65">
    <cfRule type="cellIs" priority="243" operator="lessThanOrEqual" aboveAverage="0" equalAverage="0" bottom="0" percent="0" rank="0" text="" dxfId="0">
      <formula>I65</formula>
    </cfRule>
  </conditionalFormatting>
  <conditionalFormatting sqref="M66">
    <cfRule type="cellIs" priority="244" operator="lessThanOrEqual" aboveAverage="0" equalAverage="0" bottom="0" percent="0" rank="0" text="" dxfId="0">
      <formula>I66</formula>
    </cfRule>
  </conditionalFormatting>
  <conditionalFormatting sqref="M68">
    <cfRule type="cellIs" priority="245" operator="lessThanOrEqual" aboveAverage="0" equalAverage="0" bottom="0" percent="0" rank="0" text="" dxfId="0">
      <formula>I68</formula>
    </cfRule>
  </conditionalFormatting>
  <conditionalFormatting sqref="M69">
    <cfRule type="cellIs" priority="246" operator="lessThanOrEqual" aboveAverage="0" equalAverage="0" bottom="0" percent="0" rank="0" text="" dxfId="0">
      <formula>I69</formula>
    </cfRule>
  </conditionalFormatting>
  <conditionalFormatting sqref="M7">
    <cfRule type="cellIs" priority="247" operator="lessThanOrEqual" aboveAverage="0" equalAverage="0" bottom="0" percent="0" rank="0" text="" dxfId="0">
      <formula>I7</formula>
    </cfRule>
  </conditionalFormatting>
  <conditionalFormatting sqref="M70">
    <cfRule type="cellIs" priority="248" operator="lessThanOrEqual" aboveAverage="0" equalAverage="0" bottom="0" percent="0" rank="0" text="" dxfId="0">
      <formula>I70</formula>
    </cfRule>
  </conditionalFormatting>
  <conditionalFormatting sqref="M71">
    <cfRule type="cellIs" priority="249" operator="lessThanOrEqual" aboveAverage="0" equalAverage="0" bottom="0" percent="0" rank="0" text="" dxfId="0">
      <formula>I71</formula>
    </cfRule>
  </conditionalFormatting>
  <conditionalFormatting sqref="M73">
    <cfRule type="cellIs" priority="250" operator="lessThanOrEqual" aboveAverage="0" equalAverage="0" bottom="0" percent="0" rank="0" text="" dxfId="0">
      <formula>I73</formula>
    </cfRule>
  </conditionalFormatting>
  <conditionalFormatting sqref="M75">
    <cfRule type="cellIs" priority="251" operator="lessThanOrEqual" aboveAverage="0" equalAverage="0" bottom="0" percent="0" rank="0" text="" dxfId="0">
      <formula>I75</formula>
    </cfRule>
  </conditionalFormatting>
  <conditionalFormatting sqref="M76">
    <cfRule type="cellIs" priority="252" operator="lessThanOrEqual" aboveAverage="0" equalAverage="0" bottom="0" percent="0" rank="0" text="" dxfId="0">
      <formula>I76</formula>
    </cfRule>
  </conditionalFormatting>
  <conditionalFormatting sqref="M78">
    <cfRule type="cellIs" priority="253" operator="lessThanOrEqual" aboveAverage="0" equalAverage="0" bottom="0" percent="0" rank="0" text="" dxfId="0">
      <formula>I78</formula>
    </cfRule>
  </conditionalFormatting>
  <conditionalFormatting sqref="M79">
    <cfRule type="cellIs" priority="254" operator="lessThanOrEqual" aboveAverage="0" equalAverage="0" bottom="0" percent="0" rank="0" text="" dxfId="0">
      <formula>I79</formula>
    </cfRule>
  </conditionalFormatting>
  <conditionalFormatting sqref="M8">
    <cfRule type="cellIs" priority="255" operator="lessThanOrEqual" aboveAverage="0" equalAverage="0" bottom="0" percent="0" rank="0" text="" dxfId="0">
      <formula>I8</formula>
    </cfRule>
  </conditionalFormatting>
  <conditionalFormatting sqref="M80">
    <cfRule type="cellIs" priority="256" operator="lessThanOrEqual" aboveAverage="0" equalAverage="0" bottom="0" percent="0" rank="0" text="" dxfId="0">
      <formula>I80</formula>
    </cfRule>
  </conditionalFormatting>
  <conditionalFormatting sqref="M81">
    <cfRule type="cellIs" priority="257" operator="lessThanOrEqual" aboveAverage="0" equalAverage="0" bottom="0" percent="0" rank="0" text="" dxfId="0">
      <formula>I81</formula>
    </cfRule>
  </conditionalFormatting>
  <conditionalFormatting sqref="M82">
    <cfRule type="cellIs" priority="258" operator="lessThanOrEqual" aboveAverage="0" equalAverage="0" bottom="0" percent="0" rank="0" text="" dxfId="0">
      <formula>I82</formula>
    </cfRule>
  </conditionalFormatting>
  <conditionalFormatting sqref="M84">
    <cfRule type="cellIs" priority="259" operator="lessThanOrEqual" aboveAverage="0" equalAverage="0" bottom="0" percent="0" rank="0" text="" dxfId="0">
      <formula>I84</formula>
    </cfRule>
  </conditionalFormatting>
  <conditionalFormatting sqref="M85">
    <cfRule type="cellIs" priority="260" operator="lessThanOrEqual" aboveAverage="0" equalAverage="0" bottom="0" percent="0" rank="0" text="" dxfId="0">
      <formula>I85</formula>
    </cfRule>
  </conditionalFormatting>
  <conditionalFormatting sqref="M87">
    <cfRule type="cellIs" priority="261" operator="lessThanOrEqual" aboveAverage="0" equalAverage="0" bottom="0" percent="0" rank="0" text="" dxfId="0">
      <formula>I87</formula>
    </cfRule>
  </conditionalFormatting>
  <conditionalFormatting sqref="M88">
    <cfRule type="cellIs" priority="262" operator="lessThanOrEqual" aboveAverage="0" equalAverage="0" bottom="0" percent="0" rank="0" text="" dxfId="0">
      <formula>I88</formula>
    </cfRule>
  </conditionalFormatting>
  <conditionalFormatting sqref="M89">
    <cfRule type="cellIs" priority="263" operator="lessThanOrEqual" aboveAverage="0" equalAverage="0" bottom="0" percent="0" rank="0" text="" dxfId="0">
      <formula>I89</formula>
    </cfRule>
  </conditionalFormatting>
  <conditionalFormatting sqref="M9">
    <cfRule type="cellIs" priority="264" operator="lessThanOrEqual" aboveAverage="0" equalAverage="0" bottom="0" percent="0" rank="0" text="" dxfId="0">
      <formula>I9</formula>
    </cfRule>
  </conditionalFormatting>
  <conditionalFormatting sqref="M90">
    <cfRule type="cellIs" priority="265" operator="lessThanOrEqual" aboveAverage="0" equalAverage="0" bottom="0" percent="0" rank="0" text="" dxfId="0">
      <formula>I90</formula>
    </cfRule>
  </conditionalFormatting>
  <conditionalFormatting sqref="M92">
    <cfRule type="cellIs" priority="266" operator="lessThanOrEqual" aboveAverage="0" equalAverage="0" bottom="0" percent="0" rank="0" text="" dxfId="0">
      <formula>I92</formula>
    </cfRule>
  </conditionalFormatting>
  <conditionalFormatting sqref="M93">
    <cfRule type="cellIs" priority="267" operator="lessThanOrEqual" aboveAverage="0" equalAverage="0" bottom="0" percent="0" rank="0" text="" dxfId="0">
      <formula>I93</formula>
    </cfRule>
  </conditionalFormatting>
  <conditionalFormatting sqref="M96">
    <cfRule type="cellIs" priority="268" operator="lessThanOrEqual" aboveAverage="0" equalAverage="0" bottom="0" percent="0" rank="0" text="" dxfId="0">
      <formula>I96</formula>
    </cfRule>
  </conditionalFormatting>
  <conditionalFormatting sqref="M97">
    <cfRule type="cellIs" priority="269" operator="lessThanOrEqual" aboveAverage="0" equalAverage="0" bottom="0" percent="0" rank="0" text="" dxfId="0">
      <formula>I97</formula>
    </cfRule>
  </conditionalFormatting>
  <conditionalFormatting sqref="M98">
    <cfRule type="cellIs" priority="270" operator="lessThanOrEqual" aboveAverage="0" equalAverage="0" bottom="0" percent="0" rank="0" text="" dxfId="0">
      <formula>I98</formula>
    </cfRule>
  </conditionalFormatting>
  <conditionalFormatting sqref="M99">
    <cfRule type="cellIs" priority="271" operator="lessThanOrEqual" aboveAverage="0" equalAverage="0" bottom="0" percent="0" rank="0" text="" dxfId="0">
      <formula>I99</formula>
    </cfRule>
  </conditionalFormatting>
  <conditionalFormatting sqref="R11">
    <cfRule type="cellIs" priority="272" operator="lessThanOrEqual" aboveAverage="0" equalAverage="0" bottom="0" percent="0" rank="0" text="" dxfId="0">
      <formula>H11</formula>
    </cfRule>
  </conditionalFormatting>
  <conditionalFormatting sqref="R14">
    <cfRule type="cellIs" priority="273" operator="lessThanOrEqual" aboveAverage="0" equalAverage="0" bottom="0" percent="0" rank="0" text="" dxfId="0">
      <formula>H14</formula>
    </cfRule>
  </conditionalFormatting>
  <conditionalFormatting sqref="R15">
    <cfRule type="cellIs" priority="274" operator="lessThanOrEqual" aboveAverage="0" equalAverage="0" bottom="0" percent="0" rank="0" text="" dxfId="0">
      <formula>H15</formula>
    </cfRule>
  </conditionalFormatting>
  <conditionalFormatting sqref="R18">
    <cfRule type="cellIs" priority="275" operator="lessThanOrEqual" aboveAverage="0" equalAverage="0" bottom="0" percent="0" rank="0" text="" dxfId="0">
      <formula>H18</formula>
    </cfRule>
  </conditionalFormatting>
  <conditionalFormatting sqref="R20">
    <cfRule type="cellIs" priority="276" operator="lessThanOrEqual" aboveAverage="0" equalAverage="0" bottom="0" percent="0" rank="0" text="" dxfId="0">
      <formula>H20</formula>
    </cfRule>
  </conditionalFormatting>
  <conditionalFormatting sqref="R21">
    <cfRule type="cellIs" priority="277" operator="lessThanOrEqual" aboveAverage="0" equalAverage="0" bottom="0" percent="0" rank="0" text="" dxfId="0">
      <formula>H21</formula>
    </cfRule>
  </conditionalFormatting>
  <conditionalFormatting sqref="R22">
    <cfRule type="cellIs" priority="278" operator="lessThanOrEqual" aboveAverage="0" equalAverage="0" bottom="0" percent="0" rank="0" text="" dxfId="0">
      <formula>H22</formula>
    </cfRule>
  </conditionalFormatting>
  <conditionalFormatting sqref="R30">
    <cfRule type="cellIs" priority="279" operator="lessThanOrEqual" aboveAverage="0" equalAverage="0" bottom="0" percent="0" rank="0" text="" dxfId="0">
      <formula>H30</formula>
    </cfRule>
  </conditionalFormatting>
  <conditionalFormatting sqref="R31">
    <cfRule type="cellIs" priority="280" operator="lessThanOrEqual" aboveAverage="0" equalAverage="0" bottom="0" percent="0" rank="0" text="" dxfId="0">
      <formula>H31</formula>
    </cfRule>
  </conditionalFormatting>
  <conditionalFormatting sqref="R32">
    <cfRule type="cellIs" priority="281" operator="lessThanOrEqual" aboveAverage="0" equalAverage="0" bottom="0" percent="0" rank="0" text="" dxfId="0">
      <formula>H32</formula>
    </cfRule>
  </conditionalFormatting>
  <conditionalFormatting sqref="R34">
    <cfRule type="cellIs" priority="282" operator="lessThanOrEqual" aboveAverage="0" equalAverage="0" bottom="0" percent="0" rank="0" text="" dxfId="0">
      <formula>H34</formula>
    </cfRule>
  </conditionalFormatting>
  <conditionalFormatting sqref="R35">
    <cfRule type="cellIs" priority="283" operator="lessThanOrEqual" aboveAverage="0" equalAverage="0" bottom="0" percent="0" rank="0" text="" dxfId="0">
      <formula>H35</formula>
    </cfRule>
  </conditionalFormatting>
  <conditionalFormatting sqref="R37">
    <cfRule type="cellIs" priority="284" operator="lessThanOrEqual" aboveAverage="0" equalAverage="0" bottom="0" percent="0" rank="0" text="" dxfId="0">
      <formula>H37</formula>
    </cfRule>
  </conditionalFormatting>
  <conditionalFormatting sqref="R7">
    <cfRule type="cellIs" priority="285" operator="lessThanOrEqual" aboveAverage="0" equalAverage="0" bottom="0" percent="0" rank="0" text="" dxfId="0">
      <formula>H7</formula>
    </cfRule>
  </conditionalFormatting>
  <conditionalFormatting sqref="R9">
    <cfRule type="cellIs" priority="286" operator="lessThanOrEqual" aboveAverage="0" equalAverage="0" bottom="0" percent="0" rank="0" text="" dxfId="0">
      <formula>H9</formula>
    </cfRule>
  </conditionalFormatting>
  <conditionalFormatting sqref="S11">
    <cfRule type="cellIs" priority="287" operator="lessThanOrEqual" aboveAverage="0" equalAverage="0" bottom="0" percent="0" rank="0" text="" dxfId="0">
      <formula>I11</formula>
    </cfRule>
  </conditionalFormatting>
  <conditionalFormatting sqref="S14">
    <cfRule type="cellIs" priority="288" operator="lessThanOrEqual" aboveAverage="0" equalAverage="0" bottom="0" percent="0" rank="0" text="" dxfId="0">
      <formula>I14</formula>
    </cfRule>
  </conditionalFormatting>
  <conditionalFormatting sqref="S15">
    <cfRule type="cellIs" priority="289" operator="lessThanOrEqual" aboveAverage="0" equalAverage="0" bottom="0" percent="0" rank="0" text="" dxfId="0">
      <formula>I15</formula>
    </cfRule>
  </conditionalFormatting>
  <conditionalFormatting sqref="S18">
    <cfRule type="cellIs" priority="290" operator="lessThanOrEqual" aboveAverage="0" equalAverage="0" bottom="0" percent="0" rank="0" text="" dxfId="0">
      <formula>I18</formula>
    </cfRule>
  </conditionalFormatting>
  <conditionalFormatting sqref="S20">
    <cfRule type="cellIs" priority="291" operator="lessThanOrEqual" aboveAverage="0" equalAverage="0" bottom="0" percent="0" rank="0" text="" dxfId="0">
      <formula>I20</formula>
    </cfRule>
  </conditionalFormatting>
  <conditionalFormatting sqref="S21">
    <cfRule type="cellIs" priority="292" operator="lessThanOrEqual" aboveAverage="0" equalAverage="0" bottom="0" percent="0" rank="0" text="" dxfId="0">
      <formula>I21</formula>
    </cfRule>
  </conditionalFormatting>
  <conditionalFormatting sqref="S22">
    <cfRule type="cellIs" priority="293" operator="lessThanOrEqual" aboveAverage="0" equalAverage="0" bottom="0" percent="0" rank="0" text="" dxfId="0">
      <formula>I22</formula>
    </cfRule>
  </conditionalFormatting>
  <conditionalFormatting sqref="S30">
    <cfRule type="cellIs" priority="294" operator="lessThanOrEqual" aboveAverage="0" equalAverage="0" bottom="0" percent="0" rank="0" text="" dxfId="0">
      <formula>I30</formula>
    </cfRule>
  </conditionalFormatting>
  <conditionalFormatting sqref="S31">
    <cfRule type="cellIs" priority="295" operator="lessThanOrEqual" aboveAverage="0" equalAverage="0" bottom="0" percent="0" rank="0" text="" dxfId="0">
      <formula>I31</formula>
    </cfRule>
  </conditionalFormatting>
  <conditionalFormatting sqref="S32">
    <cfRule type="cellIs" priority="296" operator="lessThanOrEqual" aboveAverage="0" equalAverage="0" bottom="0" percent="0" rank="0" text="" dxfId="0">
      <formula>I32</formula>
    </cfRule>
  </conditionalFormatting>
  <conditionalFormatting sqref="S34">
    <cfRule type="cellIs" priority="297" operator="lessThanOrEqual" aboveAverage="0" equalAverage="0" bottom="0" percent="0" rank="0" text="" dxfId="0">
      <formula>I34</formula>
    </cfRule>
  </conditionalFormatting>
  <conditionalFormatting sqref="S35">
    <cfRule type="cellIs" priority="298" operator="lessThanOrEqual" aboveAverage="0" equalAverage="0" bottom="0" percent="0" rank="0" text="" dxfId="0">
      <formula>I35</formula>
    </cfRule>
  </conditionalFormatting>
  <conditionalFormatting sqref="S37">
    <cfRule type="cellIs" priority="299" operator="lessThanOrEqual" aboveAverage="0" equalAverage="0" bottom="0" percent="0" rank="0" text="" dxfId="0">
      <formula>I37</formula>
    </cfRule>
  </conditionalFormatting>
  <conditionalFormatting sqref="S7">
    <cfRule type="cellIs" priority="300" operator="lessThanOrEqual" aboveAverage="0" equalAverage="0" bottom="0" percent="0" rank="0" text="" dxfId="0">
      <formula>I7</formula>
    </cfRule>
  </conditionalFormatting>
  <conditionalFormatting sqref="S9">
    <cfRule type="cellIs" priority="301" operator="lessThanOrEqual" aboveAverage="0" equalAverage="0" bottom="0" percent="0" rank="0" text="" dxfId="0">
      <formula>I9</formula>
    </cfRule>
  </conditionalFormatting>
  <conditionalFormatting sqref="X10">
    <cfRule type="cellIs" priority="302" operator="lessThanOrEqual" aboveAverage="0" equalAverage="0" bottom="0" percent="0" rank="0" text="" dxfId="0">
      <formula>H10</formula>
    </cfRule>
  </conditionalFormatting>
  <conditionalFormatting sqref="X101">
    <cfRule type="cellIs" priority="303" operator="lessThanOrEqual" aboveAverage="0" equalAverage="0" bottom="0" percent="0" rank="0" text="" dxfId="0">
      <formula>H101</formula>
    </cfRule>
  </conditionalFormatting>
  <conditionalFormatting sqref="X104">
    <cfRule type="cellIs" priority="304" operator="lessThanOrEqual" aboveAverage="0" equalAverage="0" bottom="0" percent="0" rank="0" text="" dxfId="0">
      <formula>H104</formula>
    </cfRule>
  </conditionalFormatting>
  <conditionalFormatting sqref="X106">
    <cfRule type="cellIs" priority="305" operator="lessThanOrEqual" aboveAverage="0" equalAverage="0" bottom="0" percent="0" rank="0" text="" dxfId="0">
      <formula>H106</formula>
    </cfRule>
  </conditionalFormatting>
  <conditionalFormatting sqref="X107">
    <cfRule type="cellIs" priority="306" operator="lessThanOrEqual" aboveAverage="0" equalAverage="0" bottom="0" percent="0" rank="0" text="" dxfId="0">
      <formula>H107</formula>
    </cfRule>
  </conditionalFormatting>
  <conditionalFormatting sqref="X108">
    <cfRule type="cellIs" priority="307" operator="lessThanOrEqual" aboveAverage="0" equalAverage="0" bottom="0" percent="0" rank="0" text="" dxfId="0">
      <formula>H108</formula>
    </cfRule>
  </conditionalFormatting>
  <conditionalFormatting sqref="X109">
    <cfRule type="cellIs" priority="308" operator="lessThanOrEqual" aboveAverage="0" equalAverage="0" bottom="0" percent="0" rank="0" text="" dxfId="0">
      <formula>H109</formula>
    </cfRule>
  </conditionalFormatting>
  <conditionalFormatting sqref="X11">
    <cfRule type="cellIs" priority="309" operator="lessThanOrEqual" aboveAverage="0" equalAverage="0" bottom="0" percent="0" rank="0" text="" dxfId="0">
      <formula>H11</formula>
    </cfRule>
  </conditionalFormatting>
  <conditionalFormatting sqref="X110">
    <cfRule type="cellIs" priority="310" operator="lessThanOrEqual" aboveAverage="0" equalAverage="0" bottom="0" percent="0" rank="0" text="" dxfId="0">
      <formula>H110</formula>
    </cfRule>
  </conditionalFormatting>
  <conditionalFormatting sqref="X111">
    <cfRule type="cellIs" priority="311" operator="lessThanOrEqual" aboveAverage="0" equalAverage="0" bottom="0" percent="0" rank="0" text="" dxfId="0">
      <formula>H111</formula>
    </cfRule>
  </conditionalFormatting>
  <conditionalFormatting sqref="X112">
    <cfRule type="cellIs" priority="312" operator="lessThanOrEqual" aboveAverage="0" equalAverage="0" bottom="0" percent="0" rank="0" text="" dxfId="0">
      <formula>H112</formula>
    </cfRule>
  </conditionalFormatting>
  <conditionalFormatting sqref="X114">
    <cfRule type="cellIs" priority="313" operator="lessThanOrEqual" aboveAverage="0" equalAverage="0" bottom="0" percent="0" rank="0" text="" dxfId="0">
      <formula>H114</formula>
    </cfRule>
  </conditionalFormatting>
  <conditionalFormatting sqref="X115">
    <cfRule type="cellIs" priority="314" operator="lessThanOrEqual" aboveAverage="0" equalAverage="0" bottom="0" percent="0" rank="0" text="" dxfId="0">
      <formula>H115</formula>
    </cfRule>
  </conditionalFormatting>
  <conditionalFormatting sqref="X116">
    <cfRule type="cellIs" priority="315" operator="lessThanOrEqual" aboveAverage="0" equalAverage="0" bottom="0" percent="0" rank="0" text="" dxfId="0">
      <formula>H116</formula>
    </cfRule>
  </conditionalFormatting>
  <conditionalFormatting sqref="X117">
    <cfRule type="cellIs" priority="316" operator="lessThanOrEqual" aboveAverage="0" equalAverage="0" bottom="0" percent="0" rank="0" text="" dxfId="0">
      <formula>H117</formula>
    </cfRule>
  </conditionalFormatting>
  <conditionalFormatting sqref="X118">
    <cfRule type="cellIs" priority="317" operator="lessThanOrEqual" aboveAverage="0" equalAverage="0" bottom="0" percent="0" rank="0" text="" dxfId="0">
      <formula>H118</formula>
    </cfRule>
  </conditionalFormatting>
  <conditionalFormatting sqref="X119">
    <cfRule type="cellIs" priority="318" operator="lessThanOrEqual" aboveAverage="0" equalAverage="0" bottom="0" percent="0" rank="0" text="" dxfId="0">
      <formula>H119</formula>
    </cfRule>
  </conditionalFormatting>
  <conditionalFormatting sqref="X120">
    <cfRule type="cellIs" priority="319" operator="lessThanOrEqual" aboveAverage="0" equalAverage="0" bottom="0" percent="0" rank="0" text="" dxfId="0">
      <formula>H120</formula>
    </cfRule>
  </conditionalFormatting>
  <conditionalFormatting sqref="X121">
    <cfRule type="cellIs" priority="320" operator="lessThanOrEqual" aboveAverage="0" equalAverage="0" bottom="0" percent="0" rank="0" text="" dxfId="0">
      <formula>H121</formula>
    </cfRule>
  </conditionalFormatting>
  <conditionalFormatting sqref="X122">
    <cfRule type="cellIs" priority="321" operator="lessThanOrEqual" aboveAverage="0" equalAverage="0" bottom="0" percent="0" rank="0" text="" dxfId="0">
      <formula>H122</formula>
    </cfRule>
  </conditionalFormatting>
  <conditionalFormatting sqref="X127">
    <cfRule type="cellIs" priority="322" operator="lessThanOrEqual" aboveAverage="0" equalAverage="0" bottom="0" percent="0" rank="0" text="" dxfId="0">
      <formula>H127</formula>
    </cfRule>
  </conditionalFormatting>
  <conditionalFormatting sqref="X130">
    <cfRule type="cellIs" priority="323" operator="lessThanOrEqual" aboveAverage="0" equalAverage="0" bottom="0" percent="0" rank="0" text="" dxfId="0">
      <formula>H130</formula>
    </cfRule>
  </conditionalFormatting>
  <conditionalFormatting sqref="X131">
    <cfRule type="cellIs" priority="324" operator="lessThanOrEqual" aboveAverage="0" equalAverage="0" bottom="0" percent="0" rank="0" text="" dxfId="0">
      <formula>H131</formula>
    </cfRule>
  </conditionalFormatting>
  <conditionalFormatting sqref="X133">
    <cfRule type="cellIs" priority="325" operator="lessThanOrEqual" aboveAverage="0" equalAverage="0" bottom="0" percent="0" rank="0" text="" dxfId="0">
      <formula>H133</formula>
    </cfRule>
  </conditionalFormatting>
  <conditionalFormatting sqref="X135">
    <cfRule type="cellIs" priority="326" operator="lessThanOrEqual" aboveAverage="0" equalAverage="0" bottom="0" percent="0" rank="0" text="" dxfId="0">
      <formula>H135</formula>
    </cfRule>
  </conditionalFormatting>
  <conditionalFormatting sqref="X136">
    <cfRule type="cellIs" priority="327" operator="lessThanOrEqual" aboveAverage="0" equalAverage="0" bottom="0" percent="0" rank="0" text="" dxfId="0">
      <formula>H136</formula>
    </cfRule>
  </conditionalFormatting>
  <conditionalFormatting sqref="X137">
    <cfRule type="cellIs" priority="328" operator="lessThanOrEqual" aboveAverage="0" equalAverage="0" bottom="0" percent="0" rank="0" text="" dxfId="0">
      <formula>H137</formula>
    </cfRule>
  </conditionalFormatting>
  <conditionalFormatting sqref="X138">
    <cfRule type="cellIs" priority="329" operator="lessThanOrEqual" aboveAverage="0" equalAverage="0" bottom="0" percent="0" rank="0" text="" dxfId="0">
      <formula>H138</formula>
    </cfRule>
  </conditionalFormatting>
  <conditionalFormatting sqref="X139">
    <cfRule type="cellIs" priority="330" operator="lessThanOrEqual" aboveAverage="0" equalAverage="0" bottom="0" percent="0" rank="0" text="" dxfId="0">
      <formula>H139</formula>
    </cfRule>
  </conditionalFormatting>
  <conditionalFormatting sqref="X140">
    <cfRule type="cellIs" priority="331" operator="lessThanOrEqual" aboveAverage="0" equalAverage="0" bottom="0" percent="0" rank="0" text="" dxfId="0">
      <formula>H140</formula>
    </cfRule>
  </conditionalFormatting>
  <conditionalFormatting sqref="X144">
    <cfRule type="cellIs" priority="332" operator="lessThanOrEqual" aboveAverage="0" equalAverage="0" bottom="0" percent="0" rank="0" text="" dxfId="0">
      <formula>H144</formula>
    </cfRule>
  </conditionalFormatting>
  <conditionalFormatting sqref="X145">
    <cfRule type="cellIs" priority="333" operator="lessThanOrEqual" aboveAverage="0" equalAverage="0" bottom="0" percent="0" rank="0" text="" dxfId="0">
      <formula>H145</formula>
    </cfRule>
  </conditionalFormatting>
  <conditionalFormatting sqref="X146">
    <cfRule type="cellIs" priority="334" operator="lessThanOrEqual" aboveAverage="0" equalAverage="0" bottom="0" percent="0" rank="0" text="" dxfId="0">
      <formula>H146</formula>
    </cfRule>
  </conditionalFormatting>
  <conditionalFormatting sqref="X150">
    <cfRule type="cellIs" priority="335" operator="lessThanOrEqual" aboveAverage="0" equalAverage="0" bottom="0" percent="0" rank="0" text="" dxfId="0">
      <formula>H150</formula>
    </cfRule>
  </conditionalFormatting>
  <conditionalFormatting sqref="X151">
    <cfRule type="cellIs" priority="336" operator="lessThanOrEqual" aboveAverage="0" equalAverage="0" bottom="0" percent="0" rank="0" text="" dxfId="0">
      <formula>H151</formula>
    </cfRule>
  </conditionalFormatting>
  <conditionalFormatting sqref="X152">
    <cfRule type="cellIs" priority="337" operator="lessThanOrEqual" aboveAverage="0" equalAverage="0" bottom="0" percent="0" rank="0" text="" dxfId="0">
      <formula>H152</formula>
    </cfRule>
  </conditionalFormatting>
  <conditionalFormatting sqref="X154">
    <cfRule type="cellIs" priority="338" operator="lessThanOrEqual" aboveAverage="0" equalAverage="0" bottom="0" percent="0" rank="0" text="" dxfId="0">
      <formula>H154</formula>
    </cfRule>
  </conditionalFormatting>
  <conditionalFormatting sqref="X155">
    <cfRule type="cellIs" priority="339" operator="lessThanOrEqual" aboveAverage="0" equalAverage="0" bottom="0" percent="0" rank="0" text="" dxfId="0">
      <formula>H155</formula>
    </cfRule>
  </conditionalFormatting>
  <conditionalFormatting sqref="X158">
    <cfRule type="cellIs" priority="340" operator="lessThanOrEqual" aboveAverage="0" equalAverage="0" bottom="0" percent="0" rank="0" text="" dxfId="0">
      <formula>H158</formula>
    </cfRule>
  </conditionalFormatting>
  <conditionalFormatting sqref="X16">
    <cfRule type="cellIs" priority="341" operator="lessThanOrEqual" aboveAverage="0" equalAverage="0" bottom="0" percent="0" rank="0" text="" dxfId="0">
      <formula>H16</formula>
    </cfRule>
  </conditionalFormatting>
  <conditionalFormatting sqref="X161">
    <cfRule type="cellIs" priority="342" operator="lessThanOrEqual" aboveAverage="0" equalAverage="0" bottom="0" percent="0" rank="0" text="" dxfId="0">
      <formula>H161</formula>
    </cfRule>
  </conditionalFormatting>
  <conditionalFormatting sqref="X18">
    <cfRule type="cellIs" priority="343" operator="lessThanOrEqual" aboveAverage="0" equalAverage="0" bottom="0" percent="0" rank="0" text="" dxfId="0">
      <formula>H18</formula>
    </cfRule>
  </conditionalFormatting>
  <conditionalFormatting sqref="X19">
    <cfRule type="cellIs" priority="344" operator="lessThanOrEqual" aboveAverage="0" equalAverage="0" bottom="0" percent="0" rank="0" text="" dxfId="0">
      <formula>H19</formula>
    </cfRule>
  </conditionalFormatting>
  <conditionalFormatting sqref="X20">
    <cfRule type="cellIs" priority="345" operator="lessThanOrEqual" aboveAverage="0" equalAverage="0" bottom="0" percent="0" rank="0" text="" dxfId="0">
      <formula>H20</formula>
    </cfRule>
  </conditionalFormatting>
  <conditionalFormatting sqref="X21">
    <cfRule type="cellIs" priority="346" operator="lessThanOrEqual" aboveAverage="0" equalAverage="0" bottom="0" percent="0" rank="0" text="" dxfId="0">
      <formula>H21</formula>
    </cfRule>
  </conditionalFormatting>
  <conditionalFormatting sqref="X22">
    <cfRule type="cellIs" priority="347" operator="lessThanOrEqual" aboveAverage="0" equalAverage="0" bottom="0" percent="0" rank="0" text="" dxfId="0">
      <formula>H22</formula>
    </cfRule>
  </conditionalFormatting>
  <conditionalFormatting sqref="X23">
    <cfRule type="cellIs" priority="348" operator="lessThanOrEqual" aboveAverage="0" equalAverage="0" bottom="0" percent="0" rank="0" text="" dxfId="0">
      <formula>H23</formula>
    </cfRule>
  </conditionalFormatting>
  <conditionalFormatting sqref="X24">
    <cfRule type="cellIs" priority="349" operator="lessThanOrEqual" aboveAverage="0" equalAverage="0" bottom="0" percent="0" rank="0" text="" dxfId="0">
      <formula>H24</formula>
    </cfRule>
  </conditionalFormatting>
  <conditionalFormatting sqref="X29">
    <cfRule type="cellIs" priority="350" operator="lessThanOrEqual" aboveAverage="0" equalAverage="0" bottom="0" percent="0" rank="0" text="" dxfId="0">
      <formula>H29</formula>
    </cfRule>
  </conditionalFormatting>
  <conditionalFormatting sqref="X30">
    <cfRule type="cellIs" priority="351" operator="lessThanOrEqual" aboveAverage="0" equalAverage="0" bottom="0" percent="0" rank="0" text="" dxfId="0">
      <formula>H30</formula>
    </cfRule>
  </conditionalFormatting>
  <conditionalFormatting sqref="X31">
    <cfRule type="cellIs" priority="352" operator="lessThanOrEqual" aboveAverage="0" equalAverage="0" bottom="0" percent="0" rank="0" text="" dxfId="0">
      <formula>H31</formula>
    </cfRule>
  </conditionalFormatting>
  <conditionalFormatting sqref="X32">
    <cfRule type="cellIs" priority="353" operator="lessThanOrEqual" aboveAverage="0" equalAverage="0" bottom="0" percent="0" rank="0" text="" dxfId="0">
      <formula>H32</formula>
    </cfRule>
  </conditionalFormatting>
  <conditionalFormatting sqref="X33">
    <cfRule type="cellIs" priority="354" operator="lessThanOrEqual" aboveAverage="0" equalAverage="0" bottom="0" percent="0" rank="0" text="" dxfId="0">
      <formula>H33</formula>
    </cfRule>
  </conditionalFormatting>
  <conditionalFormatting sqref="X34">
    <cfRule type="cellIs" priority="355" operator="lessThanOrEqual" aboveAverage="0" equalAverage="0" bottom="0" percent="0" rank="0" text="" dxfId="0">
      <formula>H34</formula>
    </cfRule>
  </conditionalFormatting>
  <conditionalFormatting sqref="X35">
    <cfRule type="cellIs" priority="356" operator="lessThanOrEqual" aboveAverage="0" equalAverage="0" bottom="0" percent="0" rank="0" text="" dxfId="0">
      <formula>H35</formula>
    </cfRule>
  </conditionalFormatting>
  <conditionalFormatting sqref="X39">
    <cfRule type="cellIs" priority="357" operator="lessThanOrEqual" aboveAverage="0" equalAverage="0" bottom="0" percent="0" rank="0" text="" dxfId="0">
      <formula>H39</formula>
    </cfRule>
  </conditionalFormatting>
  <conditionalFormatting sqref="X40">
    <cfRule type="cellIs" priority="358" operator="lessThanOrEqual" aboveAverage="0" equalAverage="0" bottom="0" percent="0" rank="0" text="" dxfId="0">
      <formula>H40</formula>
    </cfRule>
  </conditionalFormatting>
  <conditionalFormatting sqref="X41">
    <cfRule type="cellIs" priority="359" operator="lessThanOrEqual" aboveAverage="0" equalAverage="0" bottom="0" percent="0" rank="0" text="" dxfId="0">
      <formula>H41</formula>
    </cfRule>
  </conditionalFormatting>
  <conditionalFormatting sqref="X44">
    <cfRule type="cellIs" priority="360" operator="lessThanOrEqual" aboveAverage="0" equalAverage="0" bottom="0" percent="0" rank="0" text="" dxfId="0">
      <formula>H44</formula>
    </cfRule>
  </conditionalFormatting>
  <conditionalFormatting sqref="X46">
    <cfRule type="cellIs" priority="361" operator="lessThanOrEqual" aboveAverage="0" equalAverage="0" bottom="0" percent="0" rank="0" text="" dxfId="0">
      <formula>H46</formula>
    </cfRule>
  </conditionalFormatting>
  <conditionalFormatting sqref="X47">
    <cfRule type="cellIs" priority="362" operator="lessThanOrEqual" aboveAverage="0" equalAverage="0" bottom="0" percent="0" rank="0" text="" dxfId="0">
      <formula>H47</formula>
    </cfRule>
  </conditionalFormatting>
  <conditionalFormatting sqref="X49">
    <cfRule type="cellIs" priority="363" operator="lessThanOrEqual" aboveAverage="0" equalAverage="0" bottom="0" percent="0" rank="0" text="" dxfId="0">
      <formula>H49</formula>
    </cfRule>
  </conditionalFormatting>
  <conditionalFormatting sqref="X50">
    <cfRule type="cellIs" priority="364" operator="lessThanOrEqual" aboveAverage="0" equalAverage="0" bottom="0" percent="0" rank="0" text="" dxfId="0">
      <formula>H50</formula>
    </cfRule>
  </conditionalFormatting>
  <conditionalFormatting sqref="X51">
    <cfRule type="cellIs" priority="365" operator="lessThanOrEqual" aboveAverage="0" equalAverage="0" bottom="0" percent="0" rank="0" text="" dxfId="0">
      <formula>H51</formula>
    </cfRule>
  </conditionalFormatting>
  <conditionalFormatting sqref="X53">
    <cfRule type="cellIs" priority="366" operator="lessThanOrEqual" aboveAverage="0" equalAverage="0" bottom="0" percent="0" rank="0" text="" dxfId="0">
      <formula>H53</formula>
    </cfRule>
  </conditionalFormatting>
  <conditionalFormatting sqref="X54">
    <cfRule type="cellIs" priority="367" operator="lessThanOrEqual" aboveAverage="0" equalAverage="0" bottom="0" percent="0" rank="0" text="" dxfId="0">
      <formula>H54</formula>
    </cfRule>
  </conditionalFormatting>
  <conditionalFormatting sqref="X55">
    <cfRule type="cellIs" priority="368" operator="lessThanOrEqual" aboveAverage="0" equalAverage="0" bottom="0" percent="0" rank="0" text="" dxfId="0">
      <formula>H55</formula>
    </cfRule>
  </conditionalFormatting>
  <conditionalFormatting sqref="X56">
    <cfRule type="cellIs" priority="369" operator="lessThanOrEqual" aboveAverage="0" equalAverage="0" bottom="0" percent="0" rank="0" text="" dxfId="0">
      <formula>H56</formula>
    </cfRule>
  </conditionalFormatting>
  <conditionalFormatting sqref="X59">
    <cfRule type="cellIs" priority="370" operator="lessThanOrEqual" aboveAverage="0" equalAverage="0" bottom="0" percent="0" rank="0" text="" dxfId="0">
      <formula>H59</formula>
    </cfRule>
  </conditionalFormatting>
  <conditionalFormatting sqref="X60">
    <cfRule type="cellIs" priority="371" operator="lessThanOrEqual" aboveAverage="0" equalAverage="0" bottom="0" percent="0" rank="0" text="" dxfId="0">
      <formula>H60</formula>
    </cfRule>
  </conditionalFormatting>
  <conditionalFormatting sqref="X61">
    <cfRule type="cellIs" priority="372" operator="lessThanOrEqual" aboveAverage="0" equalAverage="0" bottom="0" percent="0" rank="0" text="" dxfId="0">
      <formula>H61</formula>
    </cfRule>
  </conditionalFormatting>
  <conditionalFormatting sqref="X62">
    <cfRule type="cellIs" priority="373" operator="lessThanOrEqual" aboveAverage="0" equalAverage="0" bottom="0" percent="0" rank="0" text="" dxfId="0">
      <formula>H62</formula>
    </cfRule>
  </conditionalFormatting>
  <conditionalFormatting sqref="X63">
    <cfRule type="cellIs" priority="374" operator="lessThanOrEqual" aboveAverage="0" equalAverage="0" bottom="0" percent="0" rank="0" text="" dxfId="0">
      <formula>H63</formula>
    </cfRule>
  </conditionalFormatting>
  <conditionalFormatting sqref="X65">
    <cfRule type="cellIs" priority="375" operator="lessThanOrEqual" aboveAverage="0" equalAverage="0" bottom="0" percent="0" rank="0" text="" dxfId="0">
      <formula>H65</formula>
    </cfRule>
  </conditionalFormatting>
  <conditionalFormatting sqref="X68">
    <cfRule type="cellIs" priority="376" operator="lessThanOrEqual" aboveAverage="0" equalAverage="0" bottom="0" percent="0" rank="0" text="" dxfId="0">
      <formula>H68</formula>
    </cfRule>
  </conditionalFormatting>
  <conditionalFormatting sqref="X69">
    <cfRule type="cellIs" priority="377" operator="lessThanOrEqual" aboveAverage="0" equalAverage="0" bottom="0" percent="0" rank="0" text="" dxfId="0">
      <formula>H69</formula>
    </cfRule>
  </conditionalFormatting>
  <conditionalFormatting sqref="X7">
    <cfRule type="cellIs" priority="378" operator="lessThanOrEqual" aboveAverage="0" equalAverage="0" bottom="0" percent="0" rank="0" text="" dxfId="0">
      <formula>H7</formula>
    </cfRule>
  </conditionalFormatting>
  <conditionalFormatting sqref="X70">
    <cfRule type="cellIs" priority="379" operator="lessThanOrEqual" aboveAverage="0" equalAverage="0" bottom="0" percent="0" rank="0" text="" dxfId="0">
      <formula>H70</formula>
    </cfRule>
  </conditionalFormatting>
  <conditionalFormatting sqref="X74">
    <cfRule type="cellIs" priority="380" operator="lessThanOrEqual" aboveAverage="0" equalAverage="0" bottom="0" percent="0" rank="0" text="" dxfId="0">
      <formula>H74</formula>
    </cfRule>
  </conditionalFormatting>
  <conditionalFormatting sqref="X75">
    <cfRule type="cellIs" priority="381" operator="lessThanOrEqual" aboveAverage="0" equalAverage="0" bottom="0" percent="0" rank="0" text="" dxfId="0">
      <formula>H75</formula>
    </cfRule>
  </conditionalFormatting>
  <conditionalFormatting sqref="X76">
    <cfRule type="cellIs" priority="382" operator="lessThanOrEqual" aboveAverage="0" equalAverage="0" bottom="0" percent="0" rank="0" text="" dxfId="0">
      <formula>H76</formula>
    </cfRule>
  </conditionalFormatting>
  <conditionalFormatting sqref="X80">
    <cfRule type="cellIs" priority="383" operator="lessThanOrEqual" aboveAverage="0" equalAverage="0" bottom="0" percent="0" rank="0" text="" dxfId="0">
      <formula>H80</formula>
    </cfRule>
  </conditionalFormatting>
  <conditionalFormatting sqref="X82">
    <cfRule type="cellIs" priority="384" operator="lessThanOrEqual" aboveAverage="0" equalAverage="0" bottom="0" percent="0" rank="0" text="" dxfId="0">
      <formula>H82</formula>
    </cfRule>
  </conditionalFormatting>
  <conditionalFormatting sqref="X85">
    <cfRule type="cellIs" priority="385" operator="lessThanOrEqual" aboveAverage="0" equalAverage="0" bottom="0" percent="0" rank="0" text="" dxfId="0">
      <formula>H85</formula>
    </cfRule>
  </conditionalFormatting>
  <conditionalFormatting sqref="X87">
    <cfRule type="cellIs" priority="386" operator="lessThanOrEqual" aboveAverage="0" equalAverage="0" bottom="0" percent="0" rank="0" text="" dxfId="0">
      <formula>H87</formula>
    </cfRule>
  </conditionalFormatting>
  <conditionalFormatting sqref="X89">
    <cfRule type="cellIs" priority="387" operator="lessThanOrEqual" aboveAverage="0" equalAverage="0" bottom="0" percent="0" rank="0" text="" dxfId="0">
      <formula>H89</formula>
    </cfRule>
  </conditionalFormatting>
  <conditionalFormatting sqref="X9">
    <cfRule type="cellIs" priority="388" operator="lessThanOrEqual" aboveAverage="0" equalAverage="0" bottom="0" percent="0" rank="0" text="" dxfId="0">
      <formula>H9</formula>
    </cfRule>
  </conditionalFormatting>
  <conditionalFormatting sqref="X92">
    <cfRule type="cellIs" priority="389" operator="lessThanOrEqual" aboveAverage="0" equalAverage="0" bottom="0" percent="0" rank="0" text="" dxfId="0">
      <formula>H92</formula>
    </cfRule>
  </conditionalFormatting>
  <conditionalFormatting sqref="X93">
    <cfRule type="cellIs" priority="390" operator="lessThanOrEqual" aboveAverage="0" equalAverage="0" bottom="0" percent="0" rank="0" text="" dxfId="0">
      <formula>H93</formula>
    </cfRule>
  </conditionalFormatting>
  <conditionalFormatting sqref="X96">
    <cfRule type="cellIs" priority="391" operator="lessThanOrEqual" aboveAverage="0" equalAverage="0" bottom="0" percent="0" rank="0" text="" dxfId="0">
      <formula>H96</formula>
    </cfRule>
  </conditionalFormatting>
  <conditionalFormatting sqref="X99">
    <cfRule type="cellIs" priority="392" operator="lessThanOrEqual" aboveAverage="0" equalAverage="0" bottom="0" percent="0" rank="0" text="" dxfId="0">
      <formula>H99</formula>
    </cfRule>
  </conditionalFormatting>
  <conditionalFormatting sqref="Y10">
    <cfRule type="cellIs" priority="393" operator="lessThanOrEqual" aboveAverage="0" equalAverage="0" bottom="0" percent="0" rank="0" text="" dxfId="0">
      <formula>I10</formula>
    </cfRule>
  </conditionalFormatting>
  <conditionalFormatting sqref="Y101">
    <cfRule type="cellIs" priority="394" operator="lessThanOrEqual" aboveAverage="0" equalAverage="0" bottom="0" percent="0" rank="0" text="" dxfId="0">
      <formula>I101</formula>
    </cfRule>
  </conditionalFormatting>
  <conditionalFormatting sqref="Y104">
    <cfRule type="cellIs" priority="395" operator="lessThanOrEqual" aboveAverage="0" equalAverage="0" bottom="0" percent="0" rank="0" text="" dxfId="0">
      <formula>I104</formula>
    </cfRule>
  </conditionalFormatting>
  <conditionalFormatting sqref="Y106">
    <cfRule type="cellIs" priority="396" operator="lessThanOrEqual" aboveAverage="0" equalAverage="0" bottom="0" percent="0" rank="0" text="" dxfId="0">
      <formula>I106</formula>
    </cfRule>
  </conditionalFormatting>
  <conditionalFormatting sqref="Y107">
    <cfRule type="cellIs" priority="397" operator="lessThanOrEqual" aboveAverage="0" equalAverage="0" bottom="0" percent="0" rank="0" text="" dxfId="0">
      <formula>I107</formula>
    </cfRule>
  </conditionalFormatting>
  <conditionalFormatting sqref="Y108">
    <cfRule type="cellIs" priority="398" operator="lessThanOrEqual" aboveAverage="0" equalAverage="0" bottom="0" percent="0" rank="0" text="" dxfId="0">
      <formula>I108</formula>
    </cfRule>
  </conditionalFormatting>
  <conditionalFormatting sqref="Y109">
    <cfRule type="cellIs" priority="399" operator="lessThanOrEqual" aboveAverage="0" equalAverage="0" bottom="0" percent="0" rank="0" text="" dxfId="0">
      <formula>I109</formula>
    </cfRule>
  </conditionalFormatting>
  <conditionalFormatting sqref="Y11">
    <cfRule type="cellIs" priority="400" operator="lessThanOrEqual" aboveAverage="0" equalAverage="0" bottom="0" percent="0" rank="0" text="" dxfId="0">
      <formula>I11</formula>
    </cfRule>
  </conditionalFormatting>
  <conditionalFormatting sqref="Y110">
    <cfRule type="cellIs" priority="401" operator="lessThanOrEqual" aboveAverage="0" equalAverage="0" bottom="0" percent="0" rank="0" text="" dxfId="0">
      <formula>I110</formula>
    </cfRule>
  </conditionalFormatting>
  <conditionalFormatting sqref="Y111">
    <cfRule type="cellIs" priority="402" operator="lessThanOrEqual" aboveAverage="0" equalAverage="0" bottom="0" percent="0" rank="0" text="" dxfId="0">
      <formula>I111</formula>
    </cfRule>
  </conditionalFormatting>
  <conditionalFormatting sqref="Y112">
    <cfRule type="cellIs" priority="403" operator="lessThanOrEqual" aboveAverage="0" equalAverage="0" bottom="0" percent="0" rank="0" text="" dxfId="0">
      <formula>I112</formula>
    </cfRule>
  </conditionalFormatting>
  <conditionalFormatting sqref="Y114">
    <cfRule type="cellIs" priority="404" operator="lessThanOrEqual" aboveAverage="0" equalAverage="0" bottom="0" percent="0" rank="0" text="" dxfId="0">
      <formula>I114</formula>
    </cfRule>
  </conditionalFormatting>
  <conditionalFormatting sqref="Y115">
    <cfRule type="cellIs" priority="405" operator="lessThanOrEqual" aboveAverage="0" equalAverage="0" bottom="0" percent="0" rank="0" text="" dxfId="0">
      <formula>I115</formula>
    </cfRule>
  </conditionalFormatting>
  <conditionalFormatting sqref="Y116">
    <cfRule type="cellIs" priority="406" operator="lessThanOrEqual" aboveAverage="0" equalAverage="0" bottom="0" percent="0" rank="0" text="" dxfId="0">
      <formula>I116</formula>
    </cfRule>
  </conditionalFormatting>
  <conditionalFormatting sqref="Y117">
    <cfRule type="cellIs" priority="407" operator="lessThanOrEqual" aboveAverage="0" equalAverage="0" bottom="0" percent="0" rank="0" text="" dxfId="0">
      <formula>I117</formula>
    </cfRule>
  </conditionalFormatting>
  <conditionalFormatting sqref="Y118">
    <cfRule type="cellIs" priority="408" operator="lessThanOrEqual" aboveAverage="0" equalAverage="0" bottom="0" percent="0" rank="0" text="" dxfId="0">
      <formula>I118</formula>
    </cfRule>
  </conditionalFormatting>
  <conditionalFormatting sqref="Y119">
    <cfRule type="cellIs" priority="409" operator="lessThanOrEqual" aboveAverage="0" equalAverage="0" bottom="0" percent="0" rank="0" text="" dxfId="0">
      <formula>I119</formula>
    </cfRule>
  </conditionalFormatting>
  <conditionalFormatting sqref="Y120">
    <cfRule type="cellIs" priority="410" operator="lessThanOrEqual" aboveAverage="0" equalAverage="0" bottom="0" percent="0" rank="0" text="" dxfId="0">
      <formula>I120</formula>
    </cfRule>
  </conditionalFormatting>
  <conditionalFormatting sqref="Y121">
    <cfRule type="cellIs" priority="411" operator="lessThanOrEqual" aboveAverage="0" equalAverage="0" bottom="0" percent="0" rank="0" text="" dxfId="0">
      <formula>I121</formula>
    </cfRule>
  </conditionalFormatting>
  <conditionalFormatting sqref="Y122">
    <cfRule type="cellIs" priority="412" operator="lessThanOrEqual" aboveAverage="0" equalAverage="0" bottom="0" percent="0" rank="0" text="" dxfId="0">
      <formula>I122</formula>
    </cfRule>
  </conditionalFormatting>
  <conditionalFormatting sqref="Y127">
    <cfRule type="cellIs" priority="413" operator="lessThanOrEqual" aboveAverage="0" equalAverage="0" bottom="0" percent="0" rank="0" text="" dxfId="0">
      <formula>I127</formula>
    </cfRule>
  </conditionalFormatting>
  <conditionalFormatting sqref="Y130">
    <cfRule type="cellIs" priority="414" operator="lessThanOrEqual" aboveAverage="0" equalAverage="0" bottom="0" percent="0" rank="0" text="" dxfId="0">
      <formula>I130</formula>
    </cfRule>
  </conditionalFormatting>
  <conditionalFormatting sqref="Y131">
    <cfRule type="cellIs" priority="415" operator="lessThanOrEqual" aboveAverage="0" equalAverage="0" bottom="0" percent="0" rank="0" text="" dxfId="0">
      <formula>I131</formula>
    </cfRule>
  </conditionalFormatting>
  <conditionalFormatting sqref="Y133">
    <cfRule type="cellIs" priority="416" operator="lessThanOrEqual" aboveAverage="0" equalAverage="0" bottom="0" percent="0" rank="0" text="" dxfId="0">
      <formula>I133</formula>
    </cfRule>
  </conditionalFormatting>
  <conditionalFormatting sqref="Y135">
    <cfRule type="cellIs" priority="417" operator="lessThanOrEqual" aboveAverage="0" equalAverage="0" bottom="0" percent="0" rank="0" text="" dxfId="0">
      <formula>I135</formula>
    </cfRule>
  </conditionalFormatting>
  <conditionalFormatting sqref="Y136">
    <cfRule type="cellIs" priority="418" operator="lessThanOrEqual" aboveAverage="0" equalAverage="0" bottom="0" percent="0" rank="0" text="" dxfId="0">
      <formula>I136</formula>
    </cfRule>
  </conditionalFormatting>
  <conditionalFormatting sqref="Y137">
    <cfRule type="cellIs" priority="419" operator="lessThanOrEqual" aboveAverage="0" equalAverage="0" bottom="0" percent="0" rank="0" text="" dxfId="0">
      <formula>I137</formula>
    </cfRule>
  </conditionalFormatting>
  <conditionalFormatting sqref="Y138">
    <cfRule type="cellIs" priority="420" operator="lessThanOrEqual" aboveAverage="0" equalAverage="0" bottom="0" percent="0" rank="0" text="" dxfId="0">
      <formula>I138</formula>
    </cfRule>
  </conditionalFormatting>
  <conditionalFormatting sqref="Y139">
    <cfRule type="cellIs" priority="421" operator="lessThanOrEqual" aboveAverage="0" equalAverage="0" bottom="0" percent="0" rank="0" text="" dxfId="0">
      <formula>I139</formula>
    </cfRule>
  </conditionalFormatting>
  <conditionalFormatting sqref="Y140">
    <cfRule type="cellIs" priority="422" operator="lessThanOrEqual" aboveAverage="0" equalAverage="0" bottom="0" percent="0" rank="0" text="" dxfId="0">
      <formula>I140</formula>
    </cfRule>
  </conditionalFormatting>
  <conditionalFormatting sqref="Y144">
    <cfRule type="cellIs" priority="423" operator="lessThanOrEqual" aboveAverage="0" equalAverage="0" bottom="0" percent="0" rank="0" text="" dxfId="0">
      <formula>I144</formula>
    </cfRule>
  </conditionalFormatting>
  <conditionalFormatting sqref="Y145">
    <cfRule type="cellIs" priority="424" operator="lessThanOrEqual" aboveAverage="0" equalAverage="0" bottom="0" percent="0" rank="0" text="" dxfId="0">
      <formula>I145</formula>
    </cfRule>
  </conditionalFormatting>
  <conditionalFormatting sqref="Y146">
    <cfRule type="cellIs" priority="425" operator="lessThanOrEqual" aboveAverage="0" equalAverage="0" bottom="0" percent="0" rank="0" text="" dxfId="0">
      <formula>I146</formula>
    </cfRule>
  </conditionalFormatting>
  <conditionalFormatting sqref="Y150">
    <cfRule type="cellIs" priority="426" operator="lessThanOrEqual" aboveAverage="0" equalAverage="0" bottom="0" percent="0" rank="0" text="" dxfId="0">
      <formula>I150</formula>
    </cfRule>
  </conditionalFormatting>
  <conditionalFormatting sqref="Y151">
    <cfRule type="cellIs" priority="427" operator="lessThanOrEqual" aboveAverage="0" equalAverage="0" bottom="0" percent="0" rank="0" text="" dxfId="0">
      <formula>I151</formula>
    </cfRule>
  </conditionalFormatting>
  <conditionalFormatting sqref="Y152">
    <cfRule type="cellIs" priority="428" operator="lessThanOrEqual" aboveAverage="0" equalAverage="0" bottom="0" percent="0" rank="0" text="" dxfId="0">
      <formula>I152</formula>
    </cfRule>
  </conditionalFormatting>
  <conditionalFormatting sqref="Y154">
    <cfRule type="cellIs" priority="429" operator="lessThanOrEqual" aboveAverage="0" equalAverage="0" bottom="0" percent="0" rank="0" text="" dxfId="0">
      <formula>I154</formula>
    </cfRule>
  </conditionalFormatting>
  <conditionalFormatting sqref="Y155">
    <cfRule type="cellIs" priority="430" operator="lessThanOrEqual" aboveAverage="0" equalAverage="0" bottom="0" percent="0" rank="0" text="" dxfId="0">
      <formula>I155</formula>
    </cfRule>
  </conditionalFormatting>
  <conditionalFormatting sqref="Y158">
    <cfRule type="cellIs" priority="431" operator="lessThanOrEqual" aboveAverage="0" equalAverage="0" bottom="0" percent="0" rank="0" text="" dxfId="0">
      <formula>I158</formula>
    </cfRule>
  </conditionalFormatting>
  <conditionalFormatting sqref="Y16">
    <cfRule type="cellIs" priority="432" operator="lessThanOrEqual" aboveAverage="0" equalAverage="0" bottom="0" percent="0" rank="0" text="" dxfId="0">
      <formula>I16</formula>
    </cfRule>
  </conditionalFormatting>
  <conditionalFormatting sqref="Y161">
    <cfRule type="cellIs" priority="433" operator="lessThanOrEqual" aboveAverage="0" equalAverage="0" bottom="0" percent="0" rank="0" text="" dxfId="0">
      <formula>I161</formula>
    </cfRule>
  </conditionalFormatting>
  <conditionalFormatting sqref="Y18">
    <cfRule type="cellIs" priority="434" operator="lessThanOrEqual" aboveAverage="0" equalAverage="0" bottom="0" percent="0" rank="0" text="" dxfId="0">
      <formula>I18</formula>
    </cfRule>
  </conditionalFormatting>
  <conditionalFormatting sqref="Y19">
    <cfRule type="cellIs" priority="435" operator="lessThanOrEqual" aboveAverage="0" equalAverage="0" bottom="0" percent="0" rank="0" text="" dxfId="0">
      <formula>I19</formula>
    </cfRule>
  </conditionalFormatting>
  <conditionalFormatting sqref="Y20">
    <cfRule type="cellIs" priority="436" operator="lessThanOrEqual" aboveAverage="0" equalAverage="0" bottom="0" percent="0" rank="0" text="" dxfId="0">
      <formula>I20</formula>
    </cfRule>
  </conditionalFormatting>
  <conditionalFormatting sqref="Y21">
    <cfRule type="cellIs" priority="437" operator="lessThanOrEqual" aboveAverage="0" equalAverage="0" bottom="0" percent="0" rank="0" text="" dxfId="0">
      <formula>I21</formula>
    </cfRule>
  </conditionalFormatting>
  <conditionalFormatting sqref="Y22">
    <cfRule type="cellIs" priority="438" operator="lessThanOrEqual" aboveAverage="0" equalAverage="0" bottom="0" percent="0" rank="0" text="" dxfId="0">
      <formula>I22</formula>
    </cfRule>
  </conditionalFormatting>
  <conditionalFormatting sqref="Y23">
    <cfRule type="cellIs" priority="439" operator="lessThanOrEqual" aboveAverage="0" equalAverage="0" bottom="0" percent="0" rank="0" text="" dxfId="0">
      <formula>I23</formula>
    </cfRule>
  </conditionalFormatting>
  <conditionalFormatting sqref="Y24">
    <cfRule type="cellIs" priority="440" operator="lessThanOrEqual" aboveAverage="0" equalAverage="0" bottom="0" percent="0" rank="0" text="" dxfId="0">
      <formula>I24</formula>
    </cfRule>
  </conditionalFormatting>
  <conditionalFormatting sqref="Y29">
    <cfRule type="cellIs" priority="441" operator="lessThanOrEqual" aboveAverage="0" equalAverage="0" bottom="0" percent="0" rank="0" text="" dxfId="0">
      <formula>I29</formula>
    </cfRule>
  </conditionalFormatting>
  <conditionalFormatting sqref="Y30">
    <cfRule type="cellIs" priority="442" operator="lessThanOrEqual" aboveAverage="0" equalAverage="0" bottom="0" percent="0" rank="0" text="" dxfId="0">
      <formula>I30</formula>
    </cfRule>
  </conditionalFormatting>
  <conditionalFormatting sqref="Y31">
    <cfRule type="cellIs" priority="443" operator="lessThanOrEqual" aboveAverage="0" equalAverage="0" bottom="0" percent="0" rank="0" text="" dxfId="0">
      <formula>I31</formula>
    </cfRule>
  </conditionalFormatting>
  <conditionalFormatting sqref="Y32">
    <cfRule type="cellIs" priority="444" operator="lessThanOrEqual" aboveAverage="0" equalAverage="0" bottom="0" percent="0" rank="0" text="" dxfId="0">
      <formula>I32</formula>
    </cfRule>
  </conditionalFormatting>
  <conditionalFormatting sqref="Y33">
    <cfRule type="cellIs" priority="445" operator="lessThanOrEqual" aboveAverage="0" equalAverage="0" bottom="0" percent="0" rank="0" text="" dxfId="0">
      <formula>I33</formula>
    </cfRule>
  </conditionalFormatting>
  <conditionalFormatting sqref="Y34">
    <cfRule type="cellIs" priority="446" operator="lessThanOrEqual" aboveAverage="0" equalAverage="0" bottom="0" percent="0" rank="0" text="" dxfId="0">
      <formula>I34</formula>
    </cfRule>
  </conditionalFormatting>
  <conditionalFormatting sqref="Y35">
    <cfRule type="cellIs" priority="447" operator="lessThanOrEqual" aboveAverage="0" equalAverage="0" bottom="0" percent="0" rank="0" text="" dxfId="0">
      <formula>I35</formula>
    </cfRule>
  </conditionalFormatting>
  <conditionalFormatting sqref="Y39">
    <cfRule type="cellIs" priority="448" operator="lessThanOrEqual" aboveAverage="0" equalAverage="0" bottom="0" percent="0" rank="0" text="" dxfId="0">
      <formula>I39</formula>
    </cfRule>
  </conditionalFormatting>
  <conditionalFormatting sqref="Y40">
    <cfRule type="cellIs" priority="449" operator="lessThanOrEqual" aboveAverage="0" equalAverage="0" bottom="0" percent="0" rank="0" text="" dxfId="0">
      <formula>I40</formula>
    </cfRule>
  </conditionalFormatting>
  <conditionalFormatting sqref="Y41">
    <cfRule type="cellIs" priority="450" operator="lessThanOrEqual" aboveAverage="0" equalAverage="0" bottom="0" percent="0" rank="0" text="" dxfId="0">
      <formula>I41</formula>
    </cfRule>
  </conditionalFormatting>
  <conditionalFormatting sqref="Y44">
    <cfRule type="cellIs" priority="451" operator="lessThanOrEqual" aboveAverage="0" equalAverage="0" bottom="0" percent="0" rank="0" text="" dxfId="0">
      <formula>I44</formula>
    </cfRule>
  </conditionalFormatting>
  <conditionalFormatting sqref="Y46">
    <cfRule type="cellIs" priority="452" operator="lessThanOrEqual" aboveAverage="0" equalAverage="0" bottom="0" percent="0" rank="0" text="" dxfId="0">
      <formula>I46</formula>
    </cfRule>
  </conditionalFormatting>
  <conditionalFormatting sqref="Y47">
    <cfRule type="cellIs" priority="453" operator="lessThanOrEqual" aboveAverage="0" equalAverage="0" bottom="0" percent="0" rank="0" text="" dxfId="0">
      <formula>I47</formula>
    </cfRule>
  </conditionalFormatting>
  <conditionalFormatting sqref="Y49">
    <cfRule type="cellIs" priority="454" operator="lessThanOrEqual" aboveAverage="0" equalAverage="0" bottom="0" percent="0" rank="0" text="" dxfId="0">
      <formula>I49</formula>
    </cfRule>
  </conditionalFormatting>
  <conditionalFormatting sqref="Y50">
    <cfRule type="cellIs" priority="455" operator="lessThanOrEqual" aboveAverage="0" equalAverage="0" bottom="0" percent="0" rank="0" text="" dxfId="0">
      <formula>I50</formula>
    </cfRule>
  </conditionalFormatting>
  <conditionalFormatting sqref="Y51">
    <cfRule type="cellIs" priority="456" operator="lessThanOrEqual" aboveAverage="0" equalAverage="0" bottom="0" percent="0" rank="0" text="" dxfId="0">
      <formula>I51</formula>
    </cfRule>
  </conditionalFormatting>
  <conditionalFormatting sqref="Y53">
    <cfRule type="cellIs" priority="457" operator="lessThanOrEqual" aboveAverage="0" equalAverage="0" bottom="0" percent="0" rank="0" text="" dxfId="0">
      <formula>I53</formula>
    </cfRule>
  </conditionalFormatting>
  <conditionalFormatting sqref="Y54">
    <cfRule type="cellIs" priority="458" operator="lessThanOrEqual" aboveAverage="0" equalAverage="0" bottom="0" percent="0" rank="0" text="" dxfId="0">
      <formula>I54</formula>
    </cfRule>
  </conditionalFormatting>
  <conditionalFormatting sqref="Y55">
    <cfRule type="cellIs" priority="459" operator="lessThanOrEqual" aboveAverage="0" equalAverage="0" bottom="0" percent="0" rank="0" text="" dxfId="0">
      <formula>I55</formula>
    </cfRule>
  </conditionalFormatting>
  <conditionalFormatting sqref="Y56">
    <cfRule type="cellIs" priority="460" operator="lessThanOrEqual" aboveAverage="0" equalAverage="0" bottom="0" percent="0" rank="0" text="" dxfId="0">
      <formula>I56</formula>
    </cfRule>
  </conditionalFormatting>
  <conditionalFormatting sqref="Y59">
    <cfRule type="cellIs" priority="461" operator="lessThanOrEqual" aboveAverage="0" equalAverage="0" bottom="0" percent="0" rank="0" text="" dxfId="0">
      <formula>I59</formula>
    </cfRule>
  </conditionalFormatting>
  <conditionalFormatting sqref="Y60">
    <cfRule type="cellIs" priority="462" operator="lessThanOrEqual" aboveAverage="0" equalAverage="0" bottom="0" percent="0" rank="0" text="" dxfId="0">
      <formula>I60</formula>
    </cfRule>
  </conditionalFormatting>
  <conditionalFormatting sqref="Y61">
    <cfRule type="cellIs" priority="463" operator="lessThanOrEqual" aboveAverage="0" equalAverage="0" bottom="0" percent="0" rank="0" text="" dxfId="0">
      <formula>I61</formula>
    </cfRule>
  </conditionalFormatting>
  <conditionalFormatting sqref="Y62">
    <cfRule type="cellIs" priority="464" operator="lessThanOrEqual" aboveAverage="0" equalAverage="0" bottom="0" percent="0" rank="0" text="" dxfId="0">
      <formula>I62</formula>
    </cfRule>
  </conditionalFormatting>
  <conditionalFormatting sqref="Y63">
    <cfRule type="cellIs" priority="465" operator="lessThanOrEqual" aboveAverage="0" equalAverage="0" bottom="0" percent="0" rank="0" text="" dxfId="0">
      <formula>I63</formula>
    </cfRule>
  </conditionalFormatting>
  <conditionalFormatting sqref="Y65">
    <cfRule type="cellIs" priority="466" operator="lessThanOrEqual" aboveAverage="0" equalAverage="0" bottom="0" percent="0" rank="0" text="" dxfId="0">
      <formula>I65</formula>
    </cfRule>
  </conditionalFormatting>
  <conditionalFormatting sqref="Y68">
    <cfRule type="cellIs" priority="467" operator="lessThanOrEqual" aboveAverage="0" equalAverage="0" bottom="0" percent="0" rank="0" text="" dxfId="0">
      <formula>I68</formula>
    </cfRule>
  </conditionalFormatting>
  <conditionalFormatting sqref="Y69">
    <cfRule type="cellIs" priority="468" operator="lessThanOrEqual" aboveAverage="0" equalAverage="0" bottom="0" percent="0" rank="0" text="" dxfId="0">
      <formula>I69</formula>
    </cfRule>
  </conditionalFormatting>
  <conditionalFormatting sqref="Y7">
    <cfRule type="cellIs" priority="469" operator="lessThanOrEqual" aboveAverage="0" equalAverage="0" bottom="0" percent="0" rank="0" text="" dxfId="0">
      <formula>I7</formula>
    </cfRule>
  </conditionalFormatting>
  <conditionalFormatting sqref="Y70">
    <cfRule type="cellIs" priority="470" operator="lessThanOrEqual" aboveAverage="0" equalAverage="0" bottom="0" percent="0" rank="0" text="" dxfId="0">
      <formula>I70</formula>
    </cfRule>
  </conditionalFormatting>
  <conditionalFormatting sqref="Y74">
    <cfRule type="cellIs" priority="471" operator="lessThanOrEqual" aboveAverage="0" equalAverage="0" bottom="0" percent="0" rank="0" text="" dxfId="0">
      <formula>I74</formula>
    </cfRule>
  </conditionalFormatting>
  <conditionalFormatting sqref="Y75">
    <cfRule type="cellIs" priority="472" operator="lessThanOrEqual" aboveAverage="0" equalAverage="0" bottom="0" percent="0" rank="0" text="" dxfId="0">
      <formula>I75</formula>
    </cfRule>
  </conditionalFormatting>
  <conditionalFormatting sqref="Y76">
    <cfRule type="cellIs" priority="473" operator="lessThanOrEqual" aboveAverage="0" equalAverage="0" bottom="0" percent="0" rank="0" text="" dxfId="0">
      <formula>I76</formula>
    </cfRule>
  </conditionalFormatting>
  <conditionalFormatting sqref="Y80">
    <cfRule type="cellIs" priority="474" operator="lessThanOrEqual" aboveAverage="0" equalAverage="0" bottom="0" percent="0" rank="0" text="" dxfId="0">
      <formula>I80</formula>
    </cfRule>
  </conditionalFormatting>
  <conditionalFormatting sqref="Y82">
    <cfRule type="cellIs" priority="475" operator="lessThanOrEqual" aboveAverage="0" equalAverage="0" bottom="0" percent="0" rank="0" text="" dxfId="0">
      <formula>I82</formula>
    </cfRule>
  </conditionalFormatting>
  <conditionalFormatting sqref="Y85">
    <cfRule type="cellIs" priority="476" operator="lessThanOrEqual" aboveAverage="0" equalAverage="0" bottom="0" percent="0" rank="0" text="" dxfId="0">
      <formula>I85</formula>
    </cfRule>
  </conditionalFormatting>
  <conditionalFormatting sqref="Y87">
    <cfRule type="cellIs" priority="477" operator="lessThanOrEqual" aboveAverage="0" equalAverage="0" bottom="0" percent="0" rank="0" text="" dxfId="0">
      <formula>I87</formula>
    </cfRule>
  </conditionalFormatting>
  <conditionalFormatting sqref="Y89">
    <cfRule type="cellIs" priority="478" operator="lessThanOrEqual" aboveAverage="0" equalAverage="0" bottom="0" percent="0" rank="0" text="" dxfId="0">
      <formula>I89</formula>
    </cfRule>
  </conditionalFormatting>
  <conditionalFormatting sqref="Y9">
    <cfRule type="cellIs" priority="479" operator="lessThanOrEqual" aboveAverage="0" equalAverage="0" bottom="0" percent="0" rank="0" text="" dxfId="0">
      <formula>I9</formula>
    </cfRule>
  </conditionalFormatting>
  <conditionalFormatting sqref="Y92">
    <cfRule type="cellIs" priority="480" operator="lessThanOrEqual" aboveAverage="0" equalAverage="0" bottom="0" percent="0" rank="0" text="" dxfId="0">
      <formula>I92</formula>
    </cfRule>
  </conditionalFormatting>
  <conditionalFormatting sqref="Y93">
    <cfRule type="cellIs" priority="481" operator="lessThanOrEqual" aboveAverage="0" equalAverage="0" bottom="0" percent="0" rank="0" text="" dxfId="0">
      <formula>I93</formula>
    </cfRule>
  </conditionalFormatting>
  <conditionalFormatting sqref="Y96">
    <cfRule type="cellIs" priority="482" operator="lessThanOrEqual" aboveAverage="0" equalAverage="0" bottom="0" percent="0" rank="0" text="" dxfId="0">
      <formula>I96</formula>
    </cfRule>
  </conditionalFormatting>
  <conditionalFormatting sqref="Y99">
    <cfRule type="cellIs" priority="483" operator="lessThanOrEqual" aboveAverage="0" equalAverage="0" bottom="0" percent="0" rank="0" text="" dxfId="0">
      <formula>I99</formula>
    </cfRule>
  </conditionalFormatting>
  <hyperlinks>
    <hyperlink ref="O7" r:id="rId2" display="Link"/>
    <hyperlink ref="U7" r:id="rId3" display="Link"/>
    <hyperlink ref="AA7" r:id="rId4" display="Link"/>
    <hyperlink ref="O8" r:id="rId5" display="Link"/>
    <hyperlink ref="O9" r:id="rId6" display="Link"/>
    <hyperlink ref="U9" r:id="rId7" display="Link"/>
    <hyperlink ref="AA9" r:id="rId8" display="Link"/>
    <hyperlink ref="O10" r:id="rId9" display="Link"/>
    <hyperlink ref="AA10" r:id="rId10" display="Link"/>
    <hyperlink ref="O11" r:id="rId11" display="Link"/>
    <hyperlink ref="U11" r:id="rId12" display="Link"/>
    <hyperlink ref="AA11" r:id="rId13" display="Link"/>
    <hyperlink ref="O12" r:id="rId14" display="Link"/>
    <hyperlink ref="AA12" r:id="rId15" display="Link"/>
    <hyperlink ref="O13" r:id="rId16" display="Link"/>
    <hyperlink ref="O14" r:id="rId17" display="Link"/>
    <hyperlink ref="U14" r:id="rId18" display="Link"/>
    <hyperlink ref="AA14" r:id="rId19" display="Link"/>
    <hyperlink ref="O15" r:id="rId20" display="Link"/>
    <hyperlink ref="U15" r:id="rId21" display="Link"/>
    <hyperlink ref="AA15" r:id="rId22" display="Link"/>
    <hyperlink ref="O16" r:id="rId23" display="Link"/>
    <hyperlink ref="AA16" r:id="rId24" display="Link"/>
    <hyperlink ref="O17" r:id="rId25" display="Link"/>
    <hyperlink ref="O18" r:id="rId26" display="Link"/>
    <hyperlink ref="U18" r:id="rId27" display="Link"/>
    <hyperlink ref="AA18" r:id="rId28" display="Link"/>
    <hyperlink ref="O19" r:id="rId29" display="Link"/>
    <hyperlink ref="AA19" r:id="rId30" display="Link"/>
    <hyperlink ref="O20" r:id="rId31" display="Link"/>
    <hyperlink ref="U20" r:id="rId32" display="Link"/>
    <hyperlink ref="AA20" r:id="rId33" display="Link"/>
    <hyperlink ref="O21" r:id="rId34" display="Link"/>
    <hyperlink ref="U21" r:id="rId35" display="Link"/>
    <hyperlink ref="AA21" r:id="rId36" display="Link"/>
    <hyperlink ref="O22" r:id="rId37" display="Link"/>
    <hyperlink ref="U22" r:id="rId38" display="Link"/>
    <hyperlink ref="AA22" r:id="rId39" display="Link"/>
    <hyperlink ref="O23" r:id="rId40" display="Link"/>
    <hyperlink ref="AA23" r:id="rId41" display="Link"/>
    <hyperlink ref="O24" r:id="rId42" display="Link"/>
    <hyperlink ref="AA24" r:id="rId43" display="Link"/>
    <hyperlink ref="O25" r:id="rId44" display="Link"/>
    <hyperlink ref="O27" r:id="rId45" display="Link"/>
    <hyperlink ref="AA27" r:id="rId46" display="Link"/>
    <hyperlink ref="O28" r:id="rId47" display="Link"/>
    <hyperlink ref="AA28" r:id="rId48" display="Link"/>
    <hyperlink ref="O29" r:id="rId49" display="Link"/>
    <hyperlink ref="AA29" r:id="rId50" display="Link"/>
    <hyperlink ref="O30" r:id="rId51" display="Link"/>
    <hyperlink ref="U30" r:id="rId52" display="Link"/>
    <hyperlink ref="AA30" r:id="rId53" display="Link"/>
    <hyperlink ref="O31" r:id="rId54" display="Link"/>
    <hyperlink ref="U31" r:id="rId55" display="Link"/>
    <hyperlink ref="AA31" r:id="rId56" display="Link"/>
    <hyperlink ref="O32" r:id="rId57" display="Link"/>
    <hyperlink ref="U32" r:id="rId58" display="Link"/>
    <hyperlink ref="AA32" r:id="rId59" display="Link"/>
    <hyperlink ref="O33" r:id="rId60" display="Link"/>
    <hyperlink ref="AA33" r:id="rId61" display="Link"/>
    <hyperlink ref="O34" r:id="rId62" display="Link"/>
    <hyperlink ref="U34" r:id="rId63" display="Link"/>
    <hyperlink ref="AA34" r:id="rId64" display="Link"/>
    <hyperlink ref="O35" r:id="rId65" display="Link"/>
    <hyperlink ref="U35" r:id="rId66" display="Link"/>
    <hyperlink ref="AA35" r:id="rId67" display="Link"/>
    <hyperlink ref="O37" r:id="rId68" display="Link"/>
    <hyperlink ref="U37" r:id="rId69" display="Link"/>
    <hyperlink ref="AA37" r:id="rId70" display="Link"/>
    <hyperlink ref="O38" r:id="rId71" display="Link"/>
    <hyperlink ref="O39" r:id="rId72" display="Link"/>
    <hyperlink ref="AA39" r:id="rId73" display="Link"/>
    <hyperlink ref="O40" r:id="rId74" display="Link"/>
    <hyperlink ref="AA40" r:id="rId75" display="Link"/>
    <hyperlink ref="O41" r:id="rId76" display="Link"/>
    <hyperlink ref="AA41" r:id="rId77" display="Link"/>
    <hyperlink ref="O43" r:id="rId78" display="Link"/>
    <hyperlink ref="O44" r:id="rId79" display="Link"/>
    <hyperlink ref="AA44" r:id="rId80" display="Link"/>
    <hyperlink ref="O45" r:id="rId81" display="Link"/>
    <hyperlink ref="AA45" r:id="rId82" display="Link"/>
    <hyperlink ref="O46" r:id="rId83" display="Link"/>
    <hyperlink ref="AA46" r:id="rId84" display="Link"/>
    <hyperlink ref="O47" r:id="rId85" display="Link"/>
    <hyperlink ref="AA47" r:id="rId86" display="Link"/>
    <hyperlink ref="O49" r:id="rId87" display="Link"/>
    <hyperlink ref="AA49" r:id="rId88" display="Link"/>
    <hyperlink ref="O50" r:id="rId89" display="Link"/>
    <hyperlink ref="AA50" r:id="rId90" display="Link"/>
    <hyperlink ref="O51" r:id="rId91" display="Link"/>
    <hyperlink ref="AA51" r:id="rId92" display="Link"/>
    <hyperlink ref="O52" r:id="rId93" display="Link"/>
    <hyperlink ref="AA52" r:id="rId94" display="Link"/>
    <hyperlink ref="O53" r:id="rId95" display="Link"/>
    <hyperlink ref="AA53" r:id="rId96" display="Link"/>
    <hyperlink ref="O54" r:id="rId97" display="Link"/>
    <hyperlink ref="AA54" r:id="rId98" display="Link"/>
    <hyperlink ref="O55" r:id="rId99" display="Link"/>
    <hyperlink ref="AA55" r:id="rId100" display="Link"/>
    <hyperlink ref="O56" r:id="rId101" display="Link"/>
    <hyperlink ref="AA56" r:id="rId102" display="Link"/>
    <hyperlink ref="O57" r:id="rId103" display="Link"/>
    <hyperlink ref="AA57" r:id="rId104" display="Link"/>
    <hyperlink ref="O58" r:id="rId105" display="Link"/>
    <hyperlink ref="AA58" r:id="rId106" display="Link"/>
    <hyperlink ref="O59" r:id="rId107" display="Link"/>
    <hyperlink ref="AA59" r:id="rId108" display="Link"/>
    <hyperlink ref="O60" r:id="rId109" display="Link"/>
    <hyperlink ref="AA60" r:id="rId110" display="Link"/>
    <hyperlink ref="O61" r:id="rId111" display="Link"/>
    <hyperlink ref="AA61" r:id="rId112" display="Link"/>
    <hyperlink ref="O62" r:id="rId113" display="Link"/>
    <hyperlink ref="AA62" r:id="rId114" display="Link"/>
    <hyperlink ref="O63" r:id="rId115" display="Link"/>
    <hyperlink ref="AA63" r:id="rId116" display="Link"/>
    <hyperlink ref="O64" r:id="rId117" display="Link"/>
    <hyperlink ref="AA64" r:id="rId118" display="Link"/>
    <hyperlink ref="O65" r:id="rId119" display="Link"/>
    <hyperlink ref="AA65" r:id="rId120" display="Link"/>
    <hyperlink ref="O66" r:id="rId121" display="Link"/>
    <hyperlink ref="AA66" r:id="rId122" display="Link"/>
    <hyperlink ref="O68" r:id="rId123" display="Link"/>
    <hyperlink ref="AA68" r:id="rId124" display="Link"/>
    <hyperlink ref="O69" r:id="rId125" display="Link"/>
    <hyperlink ref="AA69" r:id="rId126" display="Link"/>
    <hyperlink ref="O70" r:id="rId127" display="Link"/>
    <hyperlink ref="AA70" r:id="rId128" display="Link"/>
    <hyperlink ref="O71" r:id="rId129" display="Link"/>
    <hyperlink ref="AA71" r:id="rId130" display="Link"/>
    <hyperlink ref="O73" r:id="rId131" display="Link"/>
    <hyperlink ref="AA73" r:id="rId132" display="Link"/>
    <hyperlink ref="O74" r:id="rId133" display="Link"/>
    <hyperlink ref="AA74" r:id="rId134" display="Link"/>
    <hyperlink ref="O75" r:id="rId135" display="Link"/>
    <hyperlink ref="AA75" r:id="rId136" display="Link"/>
    <hyperlink ref="O76" r:id="rId137" display="Link"/>
    <hyperlink ref="AA76" r:id="rId138" display="Link"/>
    <hyperlink ref="O78" r:id="rId139" display="Link"/>
    <hyperlink ref="O79" r:id="rId140" display="Link"/>
    <hyperlink ref="O80" r:id="rId141" display="Link"/>
    <hyperlink ref="AA80" r:id="rId142" display="Link"/>
    <hyperlink ref="O81" r:id="rId143" display="Link"/>
    <hyperlink ref="AA81" r:id="rId144" display="Link"/>
    <hyperlink ref="O82" r:id="rId145" display="Link"/>
    <hyperlink ref="AA82" r:id="rId146" display="Link"/>
    <hyperlink ref="O83" r:id="rId147" display="Link"/>
    <hyperlink ref="AA83" r:id="rId148" display="Link"/>
    <hyperlink ref="O84" r:id="rId149" display="Link"/>
    <hyperlink ref="AA84" r:id="rId150" display="Link"/>
    <hyperlink ref="O85" r:id="rId151" display="Link"/>
    <hyperlink ref="AA85" r:id="rId152" display="Link"/>
    <hyperlink ref="O87" r:id="rId153" display="Link"/>
    <hyperlink ref="AA87" r:id="rId154" display="Link"/>
    <hyperlink ref="O88" r:id="rId155" display="Link"/>
    <hyperlink ref="AA88" r:id="rId156" display="Link"/>
    <hyperlink ref="O89" r:id="rId157" display="Link"/>
    <hyperlink ref="AA89" r:id="rId158" display="Link"/>
    <hyperlink ref="O90" r:id="rId159" display="Link"/>
    <hyperlink ref="O92" r:id="rId160" display="Link"/>
    <hyperlink ref="AA92" r:id="rId161" display="Link"/>
    <hyperlink ref="O93" r:id="rId162" display="Link"/>
    <hyperlink ref="AA93" r:id="rId163" display="Link"/>
    <hyperlink ref="O94" r:id="rId164" display="Link"/>
    <hyperlink ref="O95" r:id="rId165" display="Link"/>
    <hyperlink ref="AA95" r:id="rId166" display="Link"/>
    <hyperlink ref="O96" r:id="rId167" display="Link"/>
    <hyperlink ref="AA96" r:id="rId168" display="Link"/>
    <hyperlink ref="O97" r:id="rId169" display="Link"/>
    <hyperlink ref="AA97" r:id="rId170" display="Link"/>
    <hyperlink ref="O98" r:id="rId171" display="Link"/>
    <hyperlink ref="O99" r:id="rId172" display="Link"/>
    <hyperlink ref="AA99" r:id="rId173" display="Link"/>
    <hyperlink ref="O100" r:id="rId174" display="Link"/>
    <hyperlink ref="AA100" r:id="rId175" display="Link"/>
    <hyperlink ref="O101" r:id="rId176" display="Link"/>
    <hyperlink ref="AA101" r:id="rId177" display="Link"/>
    <hyperlink ref="O102" r:id="rId178" display="Link"/>
    <hyperlink ref="AA102" r:id="rId179" display="Link"/>
    <hyperlink ref="O103" r:id="rId180" display="Link"/>
    <hyperlink ref="AA103" r:id="rId181" display="Link"/>
    <hyperlink ref="O104" r:id="rId182" display="Link"/>
    <hyperlink ref="AA104" r:id="rId183" display="Link"/>
    <hyperlink ref="O105" r:id="rId184" display="Link"/>
    <hyperlink ref="AA105" r:id="rId185" display="Link"/>
    <hyperlink ref="O106" r:id="rId186" display="Link"/>
    <hyperlink ref="AA106" r:id="rId187" display="Link"/>
    <hyperlink ref="O107" r:id="rId188" display="Link"/>
    <hyperlink ref="AA107" r:id="rId189" display="Link"/>
    <hyperlink ref="O108" r:id="rId190" display="Link"/>
    <hyperlink ref="AA108" r:id="rId191" display="Link"/>
    <hyperlink ref="O109" r:id="rId192" display="Link"/>
    <hyperlink ref="AA109" r:id="rId193" display="Link"/>
    <hyperlink ref="O110" r:id="rId194" display="Link"/>
    <hyperlink ref="AA110" r:id="rId195" display="Link"/>
    <hyperlink ref="O111" r:id="rId196" display="Link"/>
    <hyperlink ref="AA111" r:id="rId197" display="Link"/>
    <hyperlink ref="O112" r:id="rId198" display="Link"/>
    <hyperlink ref="AA112" r:id="rId199" display="Link"/>
    <hyperlink ref="O113" r:id="rId200" display="Link"/>
    <hyperlink ref="AA113" r:id="rId201" display="Link"/>
    <hyperlink ref="O114" r:id="rId202" display="Link"/>
    <hyperlink ref="AA114" r:id="rId203" display="Link"/>
    <hyperlink ref="O115" r:id="rId204" display="Link"/>
    <hyperlink ref="AA115" r:id="rId205" display="Link"/>
    <hyperlink ref="O116" r:id="rId206" display="Link"/>
    <hyperlink ref="AA116" r:id="rId207" display="Link"/>
    <hyperlink ref="O117" r:id="rId208" display="Link"/>
    <hyperlink ref="AA117" r:id="rId209" display="Link"/>
    <hyperlink ref="O118" r:id="rId210" display="Link"/>
    <hyperlink ref="AA118" r:id="rId211" display="Link"/>
    <hyperlink ref="O119" r:id="rId212" display="Link"/>
    <hyperlink ref="AA119" r:id="rId213" display="Link"/>
    <hyperlink ref="O120" r:id="rId214" display="Link"/>
    <hyperlink ref="AA120" r:id="rId215" display="Link"/>
    <hyperlink ref="O121" r:id="rId216" display="Link"/>
    <hyperlink ref="AA121" r:id="rId217" display="Link"/>
    <hyperlink ref="O122" r:id="rId218" display="Link"/>
    <hyperlink ref="AA122" r:id="rId219" display="Link"/>
    <hyperlink ref="O124" r:id="rId220" display="Link"/>
    <hyperlink ref="O125" r:id="rId221" display="Link"/>
    <hyperlink ref="AA125" r:id="rId222" display="Link"/>
    <hyperlink ref="O127" r:id="rId223" display="Link"/>
    <hyperlink ref="AA127" r:id="rId224" display="Link"/>
    <hyperlink ref="O128" r:id="rId225" display="Link"/>
    <hyperlink ref="AA128" r:id="rId226" display="Link"/>
    <hyperlink ref="O130" r:id="rId227" display="Link"/>
    <hyperlink ref="AA130" r:id="rId228" display="Link"/>
    <hyperlink ref="O131" r:id="rId229" display="Link"/>
    <hyperlink ref="AA131" r:id="rId230" display="Link"/>
    <hyperlink ref="O132" r:id="rId231" display="Link"/>
    <hyperlink ref="AA132" r:id="rId232" display="Link"/>
    <hyperlink ref="O133" r:id="rId233" display="Link"/>
    <hyperlink ref="AA133" r:id="rId234" display="Link"/>
    <hyperlink ref="O135" r:id="rId235" display="Link"/>
    <hyperlink ref="AA135" r:id="rId236" display="Link"/>
    <hyperlink ref="O136" r:id="rId237" display="Link"/>
    <hyperlink ref="AA136" r:id="rId238" display="Link"/>
    <hyperlink ref="O137" r:id="rId239" display="Link"/>
    <hyperlink ref="AA137" r:id="rId240" display="Link"/>
    <hyperlink ref="O138" r:id="rId241" display="Link"/>
    <hyperlink ref="AA138" r:id="rId242" display="Link"/>
    <hyperlink ref="O139" r:id="rId243" display="Link"/>
    <hyperlink ref="AA139" r:id="rId244" display="Link"/>
    <hyperlink ref="O140" r:id="rId245" display="Link"/>
    <hyperlink ref="AA140" r:id="rId246" display="Link"/>
    <hyperlink ref="O141" r:id="rId247" display="Link"/>
    <hyperlink ref="AA141" r:id="rId248" display="Link"/>
    <hyperlink ref="O142" r:id="rId249" display="Link"/>
    <hyperlink ref="AA142" r:id="rId250" display="Link"/>
    <hyperlink ref="O143" r:id="rId251" display="Link"/>
    <hyperlink ref="AA143" r:id="rId252" display="Link"/>
    <hyperlink ref="O144" r:id="rId253" display="Link"/>
    <hyperlink ref="AA144" r:id="rId254" display="Link"/>
    <hyperlink ref="O145" r:id="rId255" display="Link"/>
    <hyperlink ref="AA145" r:id="rId256" display="Link"/>
    <hyperlink ref="O146" r:id="rId257" display="Link"/>
    <hyperlink ref="AA146" r:id="rId258" display="Link"/>
    <hyperlink ref="O148" r:id="rId259" display="Link"/>
    <hyperlink ref="AA148" r:id="rId260" display="Link"/>
    <hyperlink ref="O149" r:id="rId261" display="Link"/>
    <hyperlink ref="AA149" r:id="rId262" display="Link"/>
    <hyperlink ref="O150" r:id="rId263" display="Link"/>
    <hyperlink ref="AA150" r:id="rId264" display="Link"/>
    <hyperlink ref="O151" r:id="rId265" display="Link"/>
    <hyperlink ref="AA151" r:id="rId266" display="Link"/>
    <hyperlink ref="O152" r:id="rId267" display="Link"/>
    <hyperlink ref="AA152" r:id="rId268" display="Link"/>
    <hyperlink ref="O153" r:id="rId269" display="Link"/>
    <hyperlink ref="O154" r:id="rId270" display="Link"/>
    <hyperlink ref="AA154" r:id="rId271" display="Link"/>
    <hyperlink ref="O155" r:id="rId272" display="Link"/>
    <hyperlink ref="AA155" r:id="rId273" display="Link"/>
    <hyperlink ref="O156" r:id="rId274" display="Link"/>
    <hyperlink ref="O158" r:id="rId275" display="Link"/>
    <hyperlink ref="AA158" r:id="rId276" display="Link"/>
    <hyperlink ref="O159" r:id="rId277" display="Link"/>
    <hyperlink ref="AA159" r:id="rId278" display="Link"/>
    <hyperlink ref="O160" r:id="rId279" display="Link"/>
    <hyperlink ref="AA160" r:id="rId280" display="Link"/>
    <hyperlink ref="O161" r:id="rId281" display="Link"/>
    <hyperlink ref="AA161" r:id="rId282" display="Link"/>
    <hyperlink ref="O162" r:id="rId283" display="Link"/>
    <hyperlink ref="O163" r:id="rId284" display="Link"/>
    <hyperlink ref="O164" r:id="rId285" display="Link"/>
    <hyperlink ref="O165" r:id="rId286" display="Link"/>
    <hyperlink ref="AA165" r:id="rId287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8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2016-08-24T19:10:27Z</dcterms:created>
  <dc:language>es-AR</dc:language>
  <dcterms:modified xsi:type="dcterms:W3CDTF">2016-08-24T16:18:54Z</dcterms:modified>
  <cp:revision>3</cp:revision>
</cp:coreProperties>
</file>