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https://d.docs.live.net/04c242f9b6dd9099/Desktop/Bootcamp/Project 1/"/>
    </mc:Choice>
  </mc:AlternateContent>
  <xr:revisionPtr revIDLastSave="1841" documentId="8_{1AD1E061-80A1-42A8-B5E5-3DDD0F8467AC}" xr6:coauthVersionLast="47" xr6:coauthVersionMax="47" xr10:uidLastSave="{9201074B-CDC6-44CA-A442-39FBA362C826}"/>
  <bookViews>
    <workbookView xWindow="28680" yWindow="-120" windowWidth="29040" windowHeight="15720" tabRatio="758" activeTab="6" xr2:uid="{6E379747-0E21-4A18-891C-55B1614F739F}"/>
  </bookViews>
  <sheets>
    <sheet name="Raw Data" sheetId="16" r:id="rId1"/>
    <sheet name="Edited Data" sheetId="1" r:id="rId2"/>
    <sheet name="Table" sheetId="2" r:id="rId3"/>
    <sheet name="Descriptive Statistics" sheetId="8" r:id="rId4"/>
    <sheet name="US Census Bureau Regions" sheetId="11" state="hidden" r:id="rId5"/>
    <sheet name="Analysis Dashboard" sheetId="17" r:id="rId6"/>
    <sheet name="Analysis Details" sheetId="5" r:id="rId7"/>
  </sheets>
  <definedNames>
    <definedName name="_xlnm._FilterDatabase" localSheetId="3" hidden="1">'Descriptive Statistics'!$A$72:$B$72</definedName>
    <definedName name="_xlnm._FilterDatabase" localSheetId="1" hidden="1">'Edited Data'!$A$1:$L$51</definedName>
    <definedName name="_xlnm._FilterDatabase" localSheetId="4" hidden="1">'US Census Bureau Regions'!$A$1:$D$1</definedName>
    <definedName name="_xlchart.v1.0" hidden="1">'Descriptive Statistics'!$A$73</definedName>
    <definedName name="_xlchart.v1.1" hidden="1">'Descriptive Statistics'!$A$74:$A$89</definedName>
    <definedName name="_xlchart.v1.10" hidden="1">'Descriptive Statistics'!$B$73</definedName>
    <definedName name="_xlchart.v1.11" hidden="1">'Descriptive Statistics'!$B$74:$B$89</definedName>
    <definedName name="_xlchart.v1.12" hidden="1">'Descriptive Statistics'!$C$73</definedName>
    <definedName name="_xlchart.v1.13" hidden="1">'Descriptive Statistics'!$C$74:$C$89</definedName>
    <definedName name="_xlchart.v1.14" hidden="1">'Descriptive Statistics'!$D$73</definedName>
    <definedName name="_xlchart.v1.15" hidden="1">'Descriptive Statistics'!$D$74:$D$89</definedName>
    <definedName name="_xlchart.v1.16" hidden="1">'Descriptive Statistics'!$A$73</definedName>
    <definedName name="_xlchart.v1.17" hidden="1">'Descriptive Statistics'!$A$74:$A$89</definedName>
    <definedName name="_xlchart.v1.18" hidden="1">'Descriptive Statistics'!$B$73</definedName>
    <definedName name="_xlchart.v1.19" hidden="1">'Descriptive Statistics'!$B$74:$B$89</definedName>
    <definedName name="_xlchart.v1.2" hidden="1">'Descriptive Statistics'!$B$73</definedName>
    <definedName name="_xlchart.v1.20" hidden="1">'Descriptive Statistics'!$C$73</definedName>
    <definedName name="_xlchart.v1.21" hidden="1">'Descriptive Statistics'!$C$74:$C$89</definedName>
    <definedName name="_xlchart.v1.22" hidden="1">'Descriptive Statistics'!$D$73</definedName>
    <definedName name="_xlchart.v1.23" hidden="1">'Descriptive Statistics'!$D$74:$D$89</definedName>
    <definedName name="_xlchart.v1.3" hidden="1">'Descriptive Statistics'!$B$74:$B$89</definedName>
    <definedName name="_xlchart.v1.4" hidden="1">'Descriptive Statistics'!$C$73</definedName>
    <definedName name="_xlchart.v1.5" hidden="1">'Descriptive Statistics'!$C$74:$C$89</definedName>
    <definedName name="_xlchart.v1.6" hidden="1">'Descriptive Statistics'!$D$73</definedName>
    <definedName name="_xlchart.v1.7" hidden="1">'Descriptive Statistics'!$D$74:$D$89</definedName>
    <definedName name="_xlchart.v1.8" hidden="1">'Descriptive Statistics'!$A$73</definedName>
    <definedName name="_xlchart.v1.9" hidden="1">'Descriptive Statistics'!$A$74:$A$89</definedName>
    <definedName name="Slicer_Penalties_FY_2013__Average">#N/A</definedName>
    <definedName name="Slicer_Penalties_FY_2013__Rank">#N/A</definedName>
    <definedName name="Slicer_State_Referenc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8" l="1"/>
  <c r="E53" i="8"/>
  <c r="F53" i="8"/>
  <c r="G53" i="8"/>
  <c r="H53" i="8"/>
  <c r="I53" i="8"/>
  <c r="J53" i="8"/>
  <c r="K53" i="8"/>
  <c r="C53" i="8"/>
  <c r="J64" i="8"/>
  <c r="J61" i="8"/>
  <c r="J60" i="8"/>
  <c r="J58" i="8"/>
  <c r="J57" i="8"/>
  <c r="J56" i="8"/>
  <c r="B56" i="8"/>
  <c r="B67" i="8"/>
  <c r="B66" i="8"/>
  <c r="C56" i="8"/>
  <c r="D56" i="8"/>
  <c r="E56" i="8"/>
  <c r="F56" i="8"/>
  <c r="G56" i="8"/>
  <c r="H56" i="8"/>
  <c r="I56" i="8"/>
  <c r="E58" i="8"/>
  <c r="J62" i="8" l="1"/>
  <c r="S10" i="2"/>
  <c r="S12" i="2"/>
  <c r="S11" i="2"/>
  <c r="S2" i="2"/>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2" i="8"/>
  <c r="I64" i="8"/>
  <c r="H64" i="8"/>
  <c r="G64" i="8"/>
  <c r="F64" i="8"/>
  <c r="E64" i="8"/>
  <c r="D64" i="8"/>
  <c r="C64" i="8"/>
  <c r="B64" i="8"/>
  <c r="I61" i="8"/>
  <c r="H61" i="8"/>
  <c r="G61" i="8"/>
  <c r="F61" i="8"/>
  <c r="E61" i="8"/>
  <c r="D61" i="8"/>
  <c r="C61" i="8"/>
  <c r="B61" i="8"/>
  <c r="I60" i="8"/>
  <c r="H60" i="8"/>
  <c r="G60" i="8"/>
  <c r="F60" i="8"/>
  <c r="E60" i="8"/>
  <c r="D60" i="8"/>
  <c r="C60" i="8"/>
  <c r="B60" i="8"/>
  <c r="I58" i="8"/>
  <c r="H58" i="8"/>
  <c r="G58" i="8"/>
  <c r="F58" i="8"/>
  <c r="D58" i="8"/>
  <c r="C58" i="8"/>
  <c r="B58" i="8"/>
  <c r="I57" i="8"/>
  <c r="H57" i="8"/>
  <c r="G57" i="8"/>
  <c r="F57" i="8"/>
  <c r="E57" i="8"/>
  <c r="D57" i="8"/>
  <c r="C57" i="8"/>
  <c r="B57" i="8"/>
  <c r="E62" i="8" l="1"/>
  <c r="I62" i="8"/>
  <c r="B62" i="8"/>
  <c r="C62" i="8"/>
  <c r="F62" i="8"/>
  <c r="D62" i="8"/>
  <c r="G62" i="8"/>
  <c r="H62" i="8"/>
  <c r="B68" i="8"/>
  <c r="S13" i="2" l="1"/>
  <c r="T10" i="2"/>
  <c r="U10" i="2"/>
  <c r="V10" i="2"/>
  <c r="W10" i="2"/>
  <c r="X10" i="2"/>
  <c r="Y10" i="2"/>
  <c r="Z10" i="2"/>
  <c r="AA10" i="2"/>
  <c r="T7" i="2"/>
  <c r="U7" i="2"/>
  <c r="V7" i="2"/>
  <c r="W7" i="2"/>
  <c r="W8" i="2" s="1"/>
  <c r="X7" i="2"/>
  <c r="Y7" i="2"/>
  <c r="Z7" i="2"/>
  <c r="AA7" i="2"/>
  <c r="S7" i="2"/>
  <c r="S8" i="2" s="1"/>
  <c r="T6" i="2"/>
  <c r="U6" i="2"/>
  <c r="V6" i="2"/>
  <c r="W6" i="2"/>
  <c r="X6" i="2"/>
  <c r="Y6" i="2"/>
  <c r="Z6" i="2"/>
  <c r="AA6" i="2"/>
  <c r="S6" i="2"/>
  <c r="T4" i="2"/>
  <c r="U4" i="2"/>
  <c r="V4" i="2"/>
  <c r="W4" i="2"/>
  <c r="X4" i="2"/>
  <c r="Y4" i="2"/>
  <c r="Z4" i="2"/>
  <c r="AA4" i="2"/>
  <c r="T3" i="2"/>
  <c r="U3" i="2"/>
  <c r="V3" i="2"/>
  <c r="W3" i="2"/>
  <c r="X3" i="2"/>
  <c r="Y3" i="2"/>
  <c r="Z3" i="2"/>
  <c r="AA3" i="2"/>
  <c r="S4" i="2"/>
  <c r="S3" i="2"/>
  <c r="T2" i="2"/>
  <c r="U2" i="2"/>
  <c r="V2" i="2"/>
  <c r="W2" i="2"/>
  <c r="X2" i="2"/>
  <c r="Y2" i="2"/>
  <c r="Z2" i="2"/>
  <c r="AA2" i="2"/>
  <c r="X8" i="2" l="1"/>
  <c r="U8" i="2"/>
  <c r="AA8" i="2"/>
  <c r="Z8" i="2"/>
  <c r="Y8" i="2"/>
  <c r="V8" i="2"/>
  <c r="T8" i="2"/>
</calcChain>
</file>

<file path=xl/sharedStrings.xml><?xml version="1.0" encoding="utf-8"?>
<sst xmlns="http://schemas.openxmlformats.org/spreadsheetml/2006/main" count="982" uniqueCount="212">
  <si>
    <t>State</t>
  </si>
  <si>
    <t>Number of Fatalities, 2012</t>
  </si>
  <si>
    <t>Rate of Fatalities, 2012</t>
  </si>
  <si>
    <t>State Rank, Fatalities 2012</t>
  </si>
  <si>
    <t>Number of Injuries/Illnesses 2012</t>
  </si>
  <si>
    <t>Injuries/Illnesses 2012 Rate</t>
  </si>
  <si>
    <t>Penalties FY 2013 (Average $)</t>
  </si>
  <si>
    <t>Penalties FY 2013 (Rank)</t>
  </si>
  <si>
    <t>Inspectors</t>
  </si>
  <si>
    <t>Years to Inspect Each Workplace Once</t>
  </si>
  <si>
    <t>State or Federal Program</t>
  </si>
  <si>
    <t>South Carolina
(33.99882060100049, -81.04536765699964)</t>
  </si>
  <si>
    <t>West Virginia
(38.665511497000466, -80.71263935099967)</t>
  </si>
  <si>
    <t>Federal</t>
  </si>
  <si>
    <t>Massachusetts
(42.27687306500047, -72.08268985899963)</t>
  </si>
  <si>
    <t>Tennessee
(35.680943063000484, -85.77448642199965)</t>
  </si>
  <si>
    <t>Oklahoma
(35.472034350000456, -97.52106845499969)</t>
  </si>
  <si>
    <t>Illinois
(40.48501278700047, -88.99770813999965)</t>
  </si>
  <si>
    <t>Nebraska
(41.64104043900045, -99.36571864599966)</t>
  </si>
  <si>
    <t>Delaware
(39.00883351400046, -75.57773943699965)</t>
  </si>
  <si>
    <t>Hawaii
(21.30485166200043, -157.85774691599974)</t>
  </si>
  <si>
    <t>Iowa
(42.469404401000475, -93.81648936699969)</t>
  </si>
  <si>
    <t>Arizona
(34.865973091000455, -111.76380949799972)</t>
  </si>
  <si>
    <t>Florida
(28.932042899000464, -81.92895558499964)</t>
  </si>
  <si>
    <t>Virginia
(37.54268075100049, -78.45788924199968)</t>
  </si>
  <si>
    <t>Missouri
(38.63579372300046, -92.56629737199967)</t>
  </si>
  <si>
    <t>Michigan
(44.66131575600048, -84.71438724399968)</t>
  </si>
  <si>
    <t>Indiana
(39.76691364600049, -86.14995579899966)</t>
  </si>
  <si>
    <t>North Carolina
(35.46622388600048, -79.15924924699965)</t>
  </si>
  <si>
    <t>New Hampshire
(43.6559537330005, -71.50035726399966)</t>
  </si>
  <si>
    <t>New Mexico
(34.52088247800049, -106.24057768899968)</t>
  </si>
  <si>
    <t>Pennsylvania
(40.79373106100047, -77.86069775999965)</t>
  </si>
  <si>
    <t>South Dakota
(44.35313342000046, -100.37352811899967)</t>
  </si>
  <si>
    <t>New York
(42.82700023900048, -75.54396639699968)</t>
  </si>
  <si>
    <t>Utah
(39.36070374600047, -111.5871285339997)</t>
  </si>
  <si>
    <t>Maine
(45.254228663000504, -68.98502952999962)</t>
  </si>
  <si>
    <t>Montana
(47.066526051000494, -109.42441687999968)</t>
  </si>
  <si>
    <t>Vermont
(43.62538292400046, -72.51763944499965)</t>
  </si>
  <si>
    <t>Arkansas
(34.748651751000466, -92.27448794899965)</t>
  </si>
  <si>
    <t>Nevada
(39.49324126500045, -117.07183978499972)</t>
  </si>
  <si>
    <t>Kentucky
(37.645973909000475, -84.77496612599964)</t>
  </si>
  <si>
    <t>Maryland
(39.2905806980005, -76.60925970899967)</t>
  </si>
  <si>
    <t>Alabama
(32.84057327200048, -86.63185803899967)</t>
  </si>
  <si>
    <t>Connecticut
(41.56266394200048, -72.64983753699966)</t>
  </si>
  <si>
    <t>Oregon
(44.567446178000466, -120.15502977999972)</t>
  </si>
  <si>
    <t>Colorado
(38.84384047000049, -106.13360888799969)</t>
  </si>
  <si>
    <t>Ohio
(40.06021029700048, -82.40425685299965)</t>
  </si>
  <si>
    <t>Wyoming
(43.23554147100049, -108.10982744299969)</t>
  </si>
  <si>
    <t>Minnesota
(46.35564867700049, -94.79419697699967)</t>
  </si>
  <si>
    <t>Kansas
(38.34774033400049, -98.20077655499966)</t>
  </si>
  <si>
    <t>Idaho
(43.682630058000484, -114.3637261449997)</t>
  </si>
  <si>
    <t>Washington
(47.522287905000496, -120.47002746299972)</t>
  </si>
  <si>
    <t>Wisconsin
(44.3931903350005, -89.81636715299965)</t>
  </si>
  <si>
    <t>Mississippi
(32.74551123200047, -89.53802764499966)</t>
  </si>
  <si>
    <t>Louisiana
(31.312662564000448, -92.44567554599968)</t>
  </si>
  <si>
    <t>Georgia
(32.83968004200045, -83.62757601199968)</t>
  </si>
  <si>
    <t>Rhode Island
(41.70828281900049, -71.52246918099962)</t>
  </si>
  <si>
    <t>Alaska
(64.84507923900048, -147.72205669099972)</t>
  </si>
  <si>
    <t>New Jersey
(40.1305700530005, -74.27368565099965)</t>
  </si>
  <si>
    <t>North Dakota
(47.47531738700047, -100.11842599699969)</t>
  </si>
  <si>
    <t>Texas
(31.827243635000457, -99.4267664729997)</t>
  </si>
  <si>
    <t>California
(37.638640488000476, -120.99999889499969)</t>
  </si>
  <si>
    <t>Total or National, Average</t>
  </si>
  <si>
    <t>Row Labels</t>
  </si>
  <si>
    <t>Grand Total</t>
  </si>
  <si>
    <t>Sum of Number of Fatalities, 2012</t>
  </si>
  <si>
    <t>Sum of Rate of Fatalities, 2012</t>
  </si>
  <si>
    <t xml:space="preserve">Mean </t>
  </si>
  <si>
    <t>Median</t>
  </si>
  <si>
    <t>Mode</t>
  </si>
  <si>
    <t>Lower Median/limt</t>
  </si>
  <si>
    <t>Upper Median/limt</t>
  </si>
  <si>
    <t>IQR</t>
  </si>
  <si>
    <t>Standard Dev</t>
  </si>
  <si>
    <t>#of Federal Program</t>
  </si>
  <si>
    <t>#of State Program</t>
  </si>
  <si>
    <t>Total # of Programs</t>
  </si>
  <si>
    <t>South Carolina</t>
  </si>
  <si>
    <t>West Virginia</t>
  </si>
  <si>
    <t>Massachusetts</t>
  </si>
  <si>
    <t>Tennessee</t>
  </si>
  <si>
    <t>Oklahoma</t>
  </si>
  <si>
    <t>Illinois</t>
  </si>
  <si>
    <t>Nebraska</t>
  </si>
  <si>
    <t>Delaware</t>
  </si>
  <si>
    <t>Hawaii</t>
  </si>
  <si>
    <t>Iowa</t>
  </si>
  <si>
    <t>Arizona</t>
  </si>
  <si>
    <t>Florida</t>
  </si>
  <si>
    <t>Virginia</t>
  </si>
  <si>
    <t>Missouri</t>
  </si>
  <si>
    <t>Michigan</t>
  </si>
  <si>
    <t>Indiana</t>
  </si>
  <si>
    <t>North Carolina</t>
  </si>
  <si>
    <t>New Hampshire</t>
  </si>
  <si>
    <t>New Mexico</t>
  </si>
  <si>
    <t>Pennsylvania</t>
  </si>
  <si>
    <t>South Dakota</t>
  </si>
  <si>
    <t>New York</t>
  </si>
  <si>
    <t>Utah</t>
  </si>
  <si>
    <t>Maine</t>
  </si>
  <si>
    <t>Montana</t>
  </si>
  <si>
    <t>Vermont</t>
  </si>
  <si>
    <t>Arkansas</t>
  </si>
  <si>
    <t>Nevada</t>
  </si>
  <si>
    <t>Kentucky</t>
  </si>
  <si>
    <t>Maryland</t>
  </si>
  <si>
    <t>Alabama</t>
  </si>
  <si>
    <t>Connecticut</t>
  </si>
  <si>
    <t>Oregon</t>
  </si>
  <si>
    <t>Colorado</t>
  </si>
  <si>
    <t>Ohio</t>
  </si>
  <si>
    <t>Wyoming</t>
  </si>
  <si>
    <t>Minnesota</t>
  </si>
  <si>
    <t>Kansas</t>
  </si>
  <si>
    <t>Idaho</t>
  </si>
  <si>
    <t>Washington</t>
  </si>
  <si>
    <t>Wisconsin</t>
  </si>
  <si>
    <t>Mississippi</t>
  </si>
  <si>
    <t>Louisiana</t>
  </si>
  <si>
    <t>Georgia</t>
  </si>
  <si>
    <t>Rhode Island</t>
  </si>
  <si>
    <t>Alaska</t>
  </si>
  <si>
    <t>New Jersey</t>
  </si>
  <si>
    <t>North Dakota</t>
  </si>
  <si>
    <t>Texas</t>
  </si>
  <si>
    <t>California</t>
  </si>
  <si>
    <t>South</t>
  </si>
  <si>
    <t>State Reference</t>
  </si>
  <si>
    <t>Which program Fed vs State has the highest rate of Fatalities?</t>
  </si>
  <si>
    <t>Which state with a state program has the highest number of injuries/illnesses?</t>
  </si>
  <si>
    <t>What is the relationship, if any, between “Average of Years to Inspect Each Workplace Once” and “Rate of Fatalities”?</t>
  </si>
  <si>
    <t>Average of Years to Inspect Each Workplace Once</t>
  </si>
  <si>
    <t>State Code</t>
  </si>
  <si>
    <t>Region</t>
  </si>
  <si>
    <t>Division</t>
  </si>
  <si>
    <t>AK</t>
  </si>
  <si>
    <t>West</t>
  </si>
  <si>
    <t>Pacific</t>
  </si>
  <si>
    <t>AL</t>
  </si>
  <si>
    <t>East South Central</t>
  </si>
  <si>
    <t>AR</t>
  </si>
  <si>
    <t>West South Central</t>
  </si>
  <si>
    <t>AZ</t>
  </si>
  <si>
    <t>Mountain</t>
  </si>
  <si>
    <t>CA</t>
  </si>
  <si>
    <t>CO</t>
  </si>
  <si>
    <t>CT</t>
  </si>
  <si>
    <t>Northeast</t>
  </si>
  <si>
    <t>New England</t>
  </si>
  <si>
    <t>District of Columbia</t>
  </si>
  <si>
    <t>DC</t>
  </si>
  <si>
    <t>South Atlantic</t>
  </si>
  <si>
    <t>DE</t>
  </si>
  <si>
    <t>FL</t>
  </si>
  <si>
    <t>GA</t>
  </si>
  <si>
    <t>HI</t>
  </si>
  <si>
    <t>IA</t>
  </si>
  <si>
    <t>Midwest</t>
  </si>
  <si>
    <t>West North Central</t>
  </si>
  <si>
    <t>ID</t>
  </si>
  <si>
    <t>IL</t>
  </si>
  <si>
    <t>East North Central</t>
  </si>
  <si>
    <t>IN</t>
  </si>
  <si>
    <t>KS</t>
  </si>
  <si>
    <t>KY</t>
  </si>
  <si>
    <t>LA</t>
  </si>
  <si>
    <t>MA</t>
  </si>
  <si>
    <t>MD</t>
  </si>
  <si>
    <t>ME</t>
  </si>
  <si>
    <t>MI</t>
  </si>
  <si>
    <t>MN</t>
  </si>
  <si>
    <t>MO</t>
  </si>
  <si>
    <t>MS</t>
  </si>
  <si>
    <t>MT</t>
  </si>
  <si>
    <t>NC</t>
  </si>
  <si>
    <t>ND</t>
  </si>
  <si>
    <t>NE</t>
  </si>
  <si>
    <t>NH</t>
  </si>
  <si>
    <t>NJ</t>
  </si>
  <si>
    <t>Middle Atlantic</t>
  </si>
  <si>
    <t>NM</t>
  </si>
  <si>
    <t>NV</t>
  </si>
  <si>
    <t>NY</t>
  </si>
  <si>
    <t>OH</t>
  </si>
  <si>
    <t>OK</t>
  </si>
  <si>
    <t>OR</t>
  </si>
  <si>
    <t>PA</t>
  </si>
  <si>
    <t>RI</t>
  </si>
  <si>
    <t>SC</t>
  </si>
  <si>
    <t>SD</t>
  </si>
  <si>
    <t>TN</t>
  </si>
  <si>
    <t>TX</t>
  </si>
  <si>
    <t>UT</t>
  </si>
  <si>
    <t>VA</t>
  </si>
  <si>
    <t>VT</t>
  </si>
  <si>
    <t>WA</t>
  </si>
  <si>
    <t>WI</t>
  </si>
  <si>
    <t>WV</t>
  </si>
  <si>
    <t>WY</t>
  </si>
  <si>
    <t>Sum of Number of Injuries/Illnesses 2012</t>
  </si>
  <si>
    <t>Sum of Penalties FY 2013 (Average $)</t>
  </si>
  <si>
    <t>This analysis shows the number of spectors does not directly affect the average penalty a partiular state is giving. The state that has this direct relation is the state that has the highest penality with is California.</t>
  </si>
  <si>
    <t>You can also notice the Federal programs tends to have higher Penalities vs the State programs</t>
  </si>
  <si>
    <t>The South and West regions that has the most significant outliers.</t>
  </si>
  <si>
    <t>The Midwest region is the region that has the most distribution data.</t>
  </si>
  <si>
    <t>Total</t>
  </si>
  <si>
    <t>With an R2= 0.015, this indicates the average number of years to inspect each workplace once does have a positive relationship with the rate of fatilities by state. The more time it takes to inspect each workplace once, the higher the fatality rate will be. However, this data set does have 3 outliers (Alaska, North Dakota, and Wyoming).</t>
  </si>
  <si>
    <t>Is there a relationship between the number of inspectors and the average penalty fy 2013 for both Federal and State Programs?</t>
  </si>
  <si>
    <t>Correlations/Distributions</t>
  </si>
  <si>
    <t>Fatalities and Injuries/Illnesses Distribution Analysis</t>
  </si>
  <si>
    <t>Identify the top 5 states that had the highest Penalities in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</si>
</sst>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71" formatCode="0.000"/>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
      <i/>
      <sz val="11"/>
      <color theme="1"/>
      <name val="Aptos Narrow"/>
      <family val="2"/>
      <scheme val="minor"/>
    </font>
    <font>
      <sz val="16"/>
      <color theme="2"/>
      <name val="Aptos Narrow"/>
      <family val="2"/>
      <scheme val="minor"/>
    </font>
    <font>
      <sz val="11"/>
      <color theme="2"/>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4">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16" fillId="33" borderId="10" xfId="0" applyFont="1" applyFill="1" applyBorder="1"/>
    <xf numFmtId="2" fontId="0" fillId="0" borderId="0" xfId="0" applyNumberFormat="1"/>
    <xf numFmtId="0" fontId="16" fillId="0" borderId="10" xfId="0" applyFont="1" applyBorder="1"/>
    <xf numFmtId="0" fontId="16" fillId="0" borderId="0" xfId="0" applyFont="1"/>
    <xf numFmtId="0" fontId="18" fillId="0" borderId="0" xfId="0" applyFont="1" applyAlignment="1">
      <alignment horizontal="left"/>
    </xf>
    <xf numFmtId="0" fontId="16" fillId="33" borderId="10" xfId="0" applyFont="1" applyFill="1" applyBorder="1" applyAlignment="1">
      <alignment wrapText="1"/>
    </xf>
    <xf numFmtId="43" fontId="0" fillId="0" borderId="0" xfId="0" applyNumberFormat="1"/>
    <xf numFmtId="44" fontId="0" fillId="0" borderId="0" xfId="0" applyNumberFormat="1"/>
    <xf numFmtId="0" fontId="18" fillId="0" borderId="0" xfId="0" applyFont="1"/>
    <xf numFmtId="0" fontId="0" fillId="0" borderId="0" xfId="0" applyAlignment="1">
      <alignment horizontal="center"/>
    </xf>
    <xf numFmtId="0" fontId="0" fillId="0" borderId="0" xfId="0" applyAlignment="1">
      <alignment horizontal="center" wrapText="1"/>
    </xf>
    <xf numFmtId="0" fontId="18"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xf>
    <xf numFmtId="43" fontId="0" fillId="0" borderId="0" xfId="42" applyFont="1" applyAlignment="1">
      <alignment horizontal="center"/>
    </xf>
    <xf numFmtId="171" fontId="0" fillId="0" borderId="0" xfId="0" applyNumberFormat="1" applyAlignment="1">
      <alignment horizontal="center"/>
    </xf>
    <xf numFmtId="0" fontId="16" fillId="0" borderId="0" xfId="0" applyFont="1" applyAlignment="1">
      <alignment horizontal="center"/>
    </xf>
    <xf numFmtId="0" fontId="16" fillId="0" borderId="11" xfId="0" applyFont="1" applyBorder="1" applyAlignment="1">
      <alignment horizontal="center"/>
    </xf>
    <xf numFmtId="0" fontId="0" fillId="0" borderId="0" xfId="0" pivotButton="1" applyAlignment="1">
      <alignment wrapText="1"/>
    </xf>
    <xf numFmtId="0" fontId="0" fillId="0" borderId="0" xfId="0" applyNumberFormat="1"/>
    <xf numFmtId="0" fontId="0" fillId="0" borderId="0" xfId="0" pivotButton="1" applyAlignment="1">
      <alignment horizontal="center" wrapText="1"/>
    </xf>
    <xf numFmtId="0" fontId="0" fillId="0" borderId="0" xfId="0" applyFill="1"/>
    <xf numFmtId="0" fontId="19" fillId="0" borderId="0" xfId="0" applyFont="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wrapText="1"/>
    </xf>
    <xf numFmtId="0" fontId="20" fillId="34" borderId="0" xfId="0" applyFont="1" applyFill="1" applyAlignment="1">
      <alignment horizontal="center"/>
    </xf>
    <xf numFmtId="0" fontId="21" fillId="34" borderId="0" xfId="0" applyFont="1" applyFill="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alignment horizontal="center"/>
    </dxf>
    <dxf>
      <alignment horizontal="center"/>
    </dxf>
    <dxf>
      <alignment wrapText="1"/>
    </dxf>
    <dxf>
      <alignment wrapText="1"/>
    </dxf>
    <dxf>
      <numFmt numFmtId="35" formatCode="_(* #,##0.00_);_(* \(#,##0.00\);_(* &quot;-&quot;??_);_(@_)"/>
    </dxf>
    <dxf>
      <numFmt numFmtId="34" formatCode="_(&quot;$&quot;* #,##0.00_);_(&quot;$&quot;* \(#,##0.00\);_(&quot;$&quot;* &quot;-&quot;??_);_(@_)"/>
    </dxf>
    <dxf>
      <alignment wrapText="1"/>
    </dxf>
    <dxf>
      <alignment wrapText="1"/>
    </dxf>
    <dxf>
      <alignment wrapText="1"/>
    </dxf>
    <dxf>
      <alignment wrapText="1"/>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numFmt numFmtId="35" formatCode="_(* #,##0.00_);_(* \(#,##0.00\);_(* &quot;-&quot;??_);_(@_)"/>
    </dxf>
    <dxf>
      <numFmt numFmtId="1" formatCode="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[2012_Workplace_Fatalities_by_State (1) - Copy.xlsx]Analysis Details!PivotTable2</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Federal vs. State Programs Rate of </a:t>
            </a:r>
            <a:r>
              <a:rPr lang="en-US" sz="1400" b="0" i="0" u="none" strike="noStrike" kern="1200" spc="0" baseline="0">
                <a:solidFill>
                  <a:sysClr val="windowText" lastClr="000000">
                    <a:lumMod val="65000"/>
                    <a:lumOff val="35000"/>
                  </a:sysClr>
                </a:solidFill>
                <a:latin typeface="Aptos Narrow" panose="02110004020202020204"/>
              </a:rPr>
              <a:t>Fatalities</a:t>
            </a:r>
            <a:r>
              <a:rPr lang="en-US" sz="1400" b="0" i="0" u="none" strike="noStrike" kern="1200" spc="0" baseline="0">
                <a:solidFill>
                  <a:sysClr val="windowText" lastClr="000000">
                    <a:lumMod val="65000"/>
                    <a:lumOff val="35000"/>
                  </a:sysClr>
                </a:solidFill>
                <a:latin typeface="+mn-lt"/>
                <a:ea typeface="+mn-ea"/>
                <a:cs typeface="+mn-cs"/>
              </a:rPr>
              <a:t>, 2012</a:t>
            </a:r>
          </a:p>
          <a:p>
            <a:pPr marL="0" marR="0" lvl="0" indent="0" algn="ctr" defTabSz="914400" rtl="0" eaLnBrk="1" fontAlgn="auto" latinLnBrk="0" hangingPunct="1">
              <a:lnSpc>
                <a:spcPct val="100000"/>
              </a:lnSpc>
              <a:spcBef>
                <a:spcPts val="0"/>
              </a:spcBef>
              <a:spcAft>
                <a:spcPts val="0"/>
              </a:spcAft>
              <a:buClrTx/>
              <a:buSzTx/>
              <a:buFontTx/>
              <a:buNone/>
              <a:tabLst/>
              <a:defRPr lang="en-US">
                <a:solidFill>
                  <a:sysClr val="windowText" lastClr="000000">
                    <a:lumMod val="65000"/>
                    <a:lumOff val="35000"/>
                  </a:sysClr>
                </a:solidFill>
              </a:defRPr>
            </a:pPr>
            <a:endParaRPr lang="en-US" sz="1400" b="0" i="0" u="none" strike="noStrike" kern="1200" spc="0" baseline="0">
              <a:solidFill>
                <a:sysClr val="windowText" lastClr="000000">
                  <a:lumMod val="65000"/>
                  <a:lumOff val="3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'Analysis Details'!$B$7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F7-4827-93E0-83A3A47F58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F7-4827-93E0-83A3A47F58E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Details'!$A$8:$A$10</c:f>
              <c:strCache>
                <c:ptCount val="2"/>
                <c:pt idx="0">
                  <c:v>Federal</c:v>
                </c:pt>
                <c:pt idx="1">
                  <c:v>State</c:v>
                </c:pt>
              </c:strCache>
            </c:strRef>
          </c:cat>
          <c:val>
            <c:numRef>
              <c:f>'Analysis Details'!$B$8:$B$10</c:f>
              <c:numCache>
                <c:formatCode>General</c:formatCode>
                <c:ptCount val="2"/>
                <c:pt idx="0">
                  <c:v>128.20000000000002</c:v>
                </c:pt>
                <c:pt idx="1">
                  <c:v>87.7</c:v>
                </c:pt>
              </c:numCache>
            </c:numRef>
          </c:val>
          <c:extLst>
            <c:ext xmlns:c16="http://schemas.microsoft.com/office/drawing/2014/chart" uri="{C3380CC4-5D6E-409C-BE32-E72D297353CC}">
              <c16:uniqueId val="{00000004-01F7-4827-93E0-83A3A47F58E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Relationship Between the Average # of years to inspect each Workplace Once and the # of Fatalites </a:t>
            </a:r>
          </a:p>
        </c:rich>
      </c:tx>
      <c:layout>
        <c:manualLayout>
          <c:xMode val="edge"/>
          <c:yMode val="edge"/>
          <c:x val="0.11425616715168289"/>
          <c:y val="2.14886633146760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87837205066669"/>
          <c:y val="0.20741819035537962"/>
          <c:w val="0.78182694600491776"/>
          <c:h val="0.68525233704213206"/>
        </c:manualLayout>
      </c:layout>
      <c:scatterChart>
        <c:scatterStyle val="lineMarker"/>
        <c:varyColors val="0"/>
        <c:ser>
          <c:idx val="0"/>
          <c:order val="0"/>
          <c:tx>
            <c:strRef>
              <c:f>'Analysis Details'!$F$65</c:f>
              <c:strCache>
                <c:ptCount val="1"/>
                <c:pt idx="0">
                  <c:v>Sum of Rate of Fatalities, 2012</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1"/>
            <c:dispEq val="1"/>
            <c:trendlineLbl>
              <c:layout>
                <c:manualLayout>
                  <c:x val="-1.9583523804291621E-2"/>
                  <c:y val="-0.30067836740606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'Analysis Details'!$E$66:$E$115</c:f>
              <c:numCache>
                <c:formatCode>General</c:formatCode>
                <c:ptCount val="50"/>
                <c:pt idx="0">
                  <c:v>0.94</c:v>
                </c:pt>
                <c:pt idx="1">
                  <c:v>0.57999999999999996</c:v>
                </c:pt>
                <c:pt idx="2">
                  <c:v>1.26</c:v>
                </c:pt>
                <c:pt idx="3">
                  <c:v>2.37</c:v>
                </c:pt>
                <c:pt idx="4">
                  <c:v>1.79</c:v>
                </c:pt>
                <c:pt idx="5">
                  <c:v>1.22</c:v>
                </c:pt>
                <c:pt idx="6">
                  <c:v>1.07</c:v>
                </c:pt>
                <c:pt idx="7">
                  <c:v>1.75</c:v>
                </c:pt>
                <c:pt idx="8">
                  <c:v>2.38</c:v>
                </c:pt>
                <c:pt idx="9">
                  <c:v>1.38</c:v>
                </c:pt>
                <c:pt idx="10">
                  <c:v>0.79</c:v>
                </c:pt>
                <c:pt idx="11">
                  <c:v>1.08</c:v>
                </c:pt>
                <c:pt idx="12">
                  <c:v>1.37</c:v>
                </c:pt>
                <c:pt idx="13">
                  <c:v>1.04</c:v>
                </c:pt>
                <c:pt idx="14">
                  <c:v>0.98</c:v>
                </c:pt>
                <c:pt idx="15">
                  <c:v>1.1000000000000001</c:v>
                </c:pt>
                <c:pt idx="16">
                  <c:v>1.24</c:v>
                </c:pt>
                <c:pt idx="17">
                  <c:v>2.06</c:v>
                </c:pt>
                <c:pt idx="18">
                  <c:v>0.8</c:v>
                </c:pt>
                <c:pt idx="19">
                  <c:v>1.08</c:v>
                </c:pt>
                <c:pt idx="20">
                  <c:v>1.23</c:v>
                </c:pt>
                <c:pt idx="21">
                  <c:v>0.45</c:v>
                </c:pt>
                <c:pt idx="22">
                  <c:v>0.56999999999999995</c:v>
                </c:pt>
                <c:pt idx="23">
                  <c:v>1.1200000000000001</c:v>
                </c:pt>
                <c:pt idx="24">
                  <c:v>1.18</c:v>
                </c:pt>
                <c:pt idx="25">
                  <c:v>1.35</c:v>
                </c:pt>
                <c:pt idx="26">
                  <c:v>1.28</c:v>
                </c:pt>
                <c:pt idx="27">
                  <c:v>0.49</c:v>
                </c:pt>
                <c:pt idx="28">
                  <c:v>1.19</c:v>
                </c:pt>
                <c:pt idx="29">
                  <c:v>1.23</c:v>
                </c:pt>
                <c:pt idx="30">
                  <c:v>1.91</c:v>
                </c:pt>
                <c:pt idx="31">
                  <c:v>1.84</c:v>
                </c:pt>
                <c:pt idx="32">
                  <c:v>0.6</c:v>
                </c:pt>
                <c:pt idx="33">
                  <c:v>1.1100000000000001</c:v>
                </c:pt>
                <c:pt idx="34">
                  <c:v>1.1200000000000001</c:v>
                </c:pt>
                <c:pt idx="35">
                  <c:v>1.31</c:v>
                </c:pt>
                <c:pt idx="36">
                  <c:v>0.31</c:v>
                </c:pt>
                <c:pt idx="37">
                  <c:v>1.25</c:v>
                </c:pt>
                <c:pt idx="38">
                  <c:v>1.03</c:v>
                </c:pt>
                <c:pt idx="39">
                  <c:v>1.1100000000000001</c:v>
                </c:pt>
                <c:pt idx="40">
                  <c:v>5.21</c:v>
                </c:pt>
                <c:pt idx="41">
                  <c:v>0.82</c:v>
                </c:pt>
                <c:pt idx="42">
                  <c:v>1.36</c:v>
                </c:pt>
                <c:pt idx="43">
                  <c:v>0.81</c:v>
                </c:pt>
                <c:pt idx="44">
                  <c:v>0.68</c:v>
                </c:pt>
                <c:pt idx="45">
                  <c:v>0.82</c:v>
                </c:pt>
                <c:pt idx="46">
                  <c:v>0.5</c:v>
                </c:pt>
                <c:pt idx="47">
                  <c:v>1.73</c:v>
                </c:pt>
                <c:pt idx="48">
                  <c:v>1.04</c:v>
                </c:pt>
                <c:pt idx="49">
                  <c:v>1.01</c:v>
                </c:pt>
              </c:numCache>
            </c:numRef>
          </c:xVal>
          <c:yVal>
            <c:numRef>
              <c:f>'Analysis Details'!$F$66:$F$115</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yVal>
          <c:smooth val="0"/>
          <c:extLst>
            <c:ext xmlns:c16="http://schemas.microsoft.com/office/drawing/2014/chart" uri="{C3380CC4-5D6E-409C-BE32-E72D297353CC}">
              <c16:uniqueId val="{00000004-7881-4F56-97CC-CB7B946F2919}"/>
            </c:ext>
          </c:extLst>
        </c:ser>
        <c:dLbls>
          <c:showLegendKey val="0"/>
          <c:showVal val="0"/>
          <c:showCatName val="0"/>
          <c:showSerName val="0"/>
          <c:showPercent val="0"/>
          <c:showBubbleSize val="0"/>
        </c:dLbls>
        <c:axId val="1155887471"/>
        <c:axId val="1155886511"/>
      </c:scatterChart>
      <c:valAx>
        <c:axId val="115588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Average</a:t>
                </a:r>
                <a:r>
                  <a:rPr lang="en-US" sz="1200" baseline="0"/>
                  <a:t> Number</a:t>
                </a:r>
                <a:r>
                  <a:rPr lang="en-US" sz="1200"/>
                  <a:t> of years to inspect each Workplace Once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86511"/>
        <c:crosses val="autoZero"/>
        <c:crossBetween val="midCat"/>
        <c:majorUnit val="0.5"/>
      </c:valAx>
      <c:valAx>
        <c:axId val="1155886511"/>
        <c:scaling>
          <c:orientation val="minMax"/>
          <c:max val="2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Rate of Fatalities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87471"/>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Penalties FY 2013 Dependence of Number of Inspectors for Federal and State Programs</a:t>
            </a:r>
            <a:endParaRPr lang="en-US"/>
          </a:p>
        </c:rich>
      </c:tx>
      <c:layout>
        <c:manualLayout>
          <c:xMode val="edge"/>
          <c:yMode val="edge"/>
          <c:x val="0.11827307762085824"/>
          <c:y val="2.601626016260162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914260717410325E-2"/>
          <c:y val="0.13611597043320486"/>
          <c:w val="0.81569665275853209"/>
          <c:h val="0.73514974450719262"/>
        </c:manualLayout>
      </c:layout>
      <c:scatterChart>
        <c:scatterStyle val="lineMarker"/>
        <c:varyColors val="0"/>
        <c:ser>
          <c:idx val="1"/>
          <c:order val="0"/>
          <c:tx>
            <c:v>Federal</c:v>
          </c:tx>
          <c:spPr>
            <a:ln w="25400" cap="rnd">
              <a:noFill/>
              <a:round/>
            </a:ln>
            <a:effectLst/>
          </c:spPr>
          <c:marker>
            <c:symbol val="circle"/>
            <c:size val="5"/>
            <c:spPr>
              <a:solidFill>
                <a:schemeClr val="accent2"/>
              </a:solidFill>
              <a:ln w="9525">
                <a:solidFill>
                  <a:schemeClr val="accent2"/>
                </a:solidFill>
              </a:ln>
              <a:effectLst/>
            </c:spPr>
          </c:marker>
          <c:xVal>
            <c:numRef>
              <c:f>'Analysis Details'!$B$140:$B$168</c:f>
              <c:numCache>
                <c:formatCode>General</c:formatCode>
                <c:ptCount val="29"/>
                <c:pt idx="0">
                  <c:v>7</c:v>
                </c:pt>
                <c:pt idx="1">
                  <c:v>33</c:v>
                </c:pt>
                <c:pt idx="2">
                  <c:v>19</c:v>
                </c:pt>
                <c:pt idx="3">
                  <c:v>74</c:v>
                </c:pt>
                <c:pt idx="4">
                  <c:v>9</c:v>
                </c:pt>
                <c:pt idx="5">
                  <c:v>5</c:v>
                </c:pt>
                <c:pt idx="6">
                  <c:v>60</c:v>
                </c:pt>
                <c:pt idx="7">
                  <c:v>26</c:v>
                </c:pt>
                <c:pt idx="8">
                  <c:v>7</c:v>
                </c:pt>
                <c:pt idx="9">
                  <c:v>57</c:v>
                </c:pt>
                <c:pt idx="10">
                  <c:v>0</c:v>
                </c:pt>
                <c:pt idx="11">
                  <c:v>105</c:v>
                </c:pt>
                <c:pt idx="12">
                  <c:v>8</c:v>
                </c:pt>
                <c:pt idx="13">
                  <c:v>7</c:v>
                </c:pt>
                <c:pt idx="14">
                  <c:v>9</c:v>
                </c:pt>
                <c:pt idx="15">
                  <c:v>24</c:v>
                </c:pt>
                <c:pt idx="16">
                  <c:v>24</c:v>
                </c:pt>
                <c:pt idx="17">
                  <c:v>28</c:v>
                </c:pt>
                <c:pt idx="18">
                  <c:v>53</c:v>
                </c:pt>
                <c:pt idx="19">
                  <c:v>16</c:v>
                </c:pt>
                <c:pt idx="20">
                  <c:v>9</c:v>
                </c:pt>
                <c:pt idx="21">
                  <c:v>36</c:v>
                </c:pt>
                <c:pt idx="22">
                  <c:v>14</c:v>
                </c:pt>
                <c:pt idx="23">
                  <c:v>16</c:v>
                </c:pt>
                <c:pt idx="24">
                  <c:v>49</c:v>
                </c:pt>
                <c:pt idx="25">
                  <c:v>7</c:v>
                </c:pt>
                <c:pt idx="26">
                  <c:v>67</c:v>
                </c:pt>
                <c:pt idx="27">
                  <c:v>8</c:v>
                </c:pt>
                <c:pt idx="28">
                  <c:v>98</c:v>
                </c:pt>
              </c:numCache>
            </c:numRef>
          </c:xVal>
          <c:yVal>
            <c:numRef>
              <c:f>'Analysis Details'!$A$140:$A$168</c:f>
              <c:numCache>
                <c:formatCode>General</c:formatCode>
                <c:ptCount val="29"/>
                <c:pt idx="0">
                  <c:v>1798</c:v>
                </c:pt>
                <c:pt idx="1">
                  <c:v>1929</c:v>
                </c:pt>
                <c:pt idx="2">
                  <c:v>1872</c:v>
                </c:pt>
                <c:pt idx="3">
                  <c:v>1876</c:v>
                </c:pt>
                <c:pt idx="4">
                  <c:v>2565</c:v>
                </c:pt>
                <c:pt idx="5">
                  <c:v>2406</c:v>
                </c:pt>
                <c:pt idx="6">
                  <c:v>1821</c:v>
                </c:pt>
                <c:pt idx="7">
                  <c:v>1931</c:v>
                </c:pt>
                <c:pt idx="8">
                  <c:v>2243</c:v>
                </c:pt>
                <c:pt idx="9">
                  <c:v>1916</c:v>
                </c:pt>
                <c:pt idx="10">
                  <c:v>2346</c:v>
                </c:pt>
                <c:pt idx="11">
                  <c:v>2016</c:v>
                </c:pt>
                <c:pt idx="12">
                  <c:v>2083</c:v>
                </c:pt>
                <c:pt idx="13">
                  <c:v>1983</c:v>
                </c:pt>
                <c:pt idx="14">
                  <c:v>2569</c:v>
                </c:pt>
                <c:pt idx="15">
                  <c:v>1803</c:v>
                </c:pt>
                <c:pt idx="16">
                  <c:v>1735</c:v>
                </c:pt>
                <c:pt idx="17">
                  <c:v>1649</c:v>
                </c:pt>
                <c:pt idx="18">
                  <c:v>2156</c:v>
                </c:pt>
                <c:pt idx="19">
                  <c:v>1971</c:v>
                </c:pt>
                <c:pt idx="20">
                  <c:v>1449</c:v>
                </c:pt>
                <c:pt idx="21">
                  <c:v>2207</c:v>
                </c:pt>
                <c:pt idx="22">
                  <c:v>1515</c:v>
                </c:pt>
                <c:pt idx="23">
                  <c:v>1765</c:v>
                </c:pt>
                <c:pt idx="24">
                  <c:v>2061</c:v>
                </c:pt>
                <c:pt idx="25">
                  <c:v>2023</c:v>
                </c:pt>
                <c:pt idx="26">
                  <c:v>2151</c:v>
                </c:pt>
                <c:pt idx="27">
                  <c:v>3045</c:v>
                </c:pt>
                <c:pt idx="28">
                  <c:v>2187</c:v>
                </c:pt>
              </c:numCache>
            </c:numRef>
          </c:yVal>
          <c:smooth val="0"/>
          <c:extLst>
            <c:ext xmlns:c16="http://schemas.microsoft.com/office/drawing/2014/chart" uri="{C3380CC4-5D6E-409C-BE32-E72D297353CC}">
              <c16:uniqueId val="{00000000-A9E9-401F-8F6E-53A369594678}"/>
            </c:ext>
          </c:extLst>
        </c:ser>
        <c:ser>
          <c:idx val="2"/>
          <c:order val="1"/>
          <c:tx>
            <c:v>State</c:v>
          </c:tx>
          <c:spPr>
            <a:ln w="25400" cap="rnd">
              <a:noFill/>
              <a:round/>
            </a:ln>
            <a:effectLst/>
          </c:spPr>
          <c:marker>
            <c:symbol val="circle"/>
            <c:size val="5"/>
            <c:spPr>
              <a:solidFill>
                <a:schemeClr val="accent3"/>
              </a:solidFill>
              <a:ln w="9525">
                <a:solidFill>
                  <a:schemeClr val="accent3"/>
                </a:solidFill>
              </a:ln>
              <a:effectLst/>
            </c:spPr>
          </c:marker>
          <c:xVal>
            <c:numRef>
              <c:f>'Analysis Details'!$B$169:$B$189</c:f>
              <c:numCache>
                <c:formatCode>General</c:formatCode>
                <c:ptCount val="21"/>
                <c:pt idx="0">
                  <c:v>24</c:v>
                </c:pt>
                <c:pt idx="1">
                  <c:v>30</c:v>
                </c:pt>
                <c:pt idx="2">
                  <c:v>20</c:v>
                </c:pt>
                <c:pt idx="3">
                  <c:v>26</c:v>
                </c:pt>
                <c:pt idx="4">
                  <c:v>30</c:v>
                </c:pt>
                <c:pt idx="5">
                  <c:v>48</c:v>
                </c:pt>
                <c:pt idx="6">
                  <c:v>63</c:v>
                </c:pt>
                <c:pt idx="7">
                  <c:v>39</c:v>
                </c:pt>
                <c:pt idx="8">
                  <c:v>104</c:v>
                </c:pt>
                <c:pt idx="9">
                  <c:v>9</c:v>
                </c:pt>
                <c:pt idx="10">
                  <c:v>22</c:v>
                </c:pt>
                <c:pt idx="11">
                  <c:v>9</c:v>
                </c:pt>
                <c:pt idx="12">
                  <c:v>44</c:v>
                </c:pt>
                <c:pt idx="13">
                  <c:v>39</c:v>
                </c:pt>
                <c:pt idx="14">
                  <c:v>48</c:v>
                </c:pt>
                <c:pt idx="15">
                  <c:v>75</c:v>
                </c:pt>
                <c:pt idx="16">
                  <c:v>9</c:v>
                </c:pt>
                <c:pt idx="17">
                  <c:v>58</c:v>
                </c:pt>
                <c:pt idx="18">
                  <c:v>111</c:v>
                </c:pt>
                <c:pt idx="19">
                  <c:v>11</c:v>
                </c:pt>
                <c:pt idx="20">
                  <c:v>216</c:v>
                </c:pt>
              </c:numCache>
            </c:numRef>
          </c:xVal>
          <c:yVal>
            <c:numRef>
              <c:f>'Analysis Details'!$A$169:$A$189</c:f>
              <c:numCache>
                <c:formatCode>General</c:formatCode>
                <c:ptCount val="21"/>
                <c:pt idx="0">
                  <c:v>492</c:v>
                </c:pt>
                <c:pt idx="1">
                  <c:v>727</c:v>
                </c:pt>
                <c:pt idx="2">
                  <c:v>964</c:v>
                </c:pt>
                <c:pt idx="3">
                  <c:v>790</c:v>
                </c:pt>
                <c:pt idx="4">
                  <c:v>891</c:v>
                </c:pt>
                <c:pt idx="5">
                  <c:v>726</c:v>
                </c:pt>
                <c:pt idx="6">
                  <c:v>542</c:v>
                </c:pt>
                <c:pt idx="7">
                  <c:v>1054</c:v>
                </c:pt>
                <c:pt idx="8">
                  <c:v>996</c:v>
                </c:pt>
                <c:pt idx="9">
                  <c:v>998</c:v>
                </c:pt>
                <c:pt idx="10">
                  <c:v>1053</c:v>
                </c:pt>
                <c:pt idx="11">
                  <c:v>1008</c:v>
                </c:pt>
                <c:pt idx="12">
                  <c:v>2133</c:v>
                </c:pt>
                <c:pt idx="13">
                  <c:v>3254</c:v>
                </c:pt>
                <c:pt idx="14">
                  <c:v>685</c:v>
                </c:pt>
                <c:pt idx="15">
                  <c:v>363</c:v>
                </c:pt>
                <c:pt idx="16">
                  <c:v>1777</c:v>
                </c:pt>
                <c:pt idx="17">
                  <c:v>768</c:v>
                </c:pt>
                <c:pt idx="18">
                  <c:v>791</c:v>
                </c:pt>
                <c:pt idx="19">
                  <c:v>889</c:v>
                </c:pt>
                <c:pt idx="20">
                  <c:v>6422</c:v>
                </c:pt>
              </c:numCache>
            </c:numRef>
          </c:yVal>
          <c:smooth val="0"/>
          <c:extLst>
            <c:ext xmlns:c16="http://schemas.microsoft.com/office/drawing/2014/chart" uri="{C3380CC4-5D6E-409C-BE32-E72D297353CC}">
              <c16:uniqueId val="{00000001-A9E9-401F-8F6E-53A369594678}"/>
            </c:ext>
          </c:extLst>
        </c:ser>
        <c:dLbls>
          <c:showLegendKey val="0"/>
          <c:showVal val="0"/>
          <c:showCatName val="0"/>
          <c:showSerName val="0"/>
          <c:showPercent val="0"/>
          <c:showBubbleSize val="0"/>
        </c:dLbls>
        <c:axId val="1866506736"/>
        <c:axId val="1866488016"/>
      </c:scatterChart>
      <c:valAx>
        <c:axId val="1866506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Inspectors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88016"/>
        <c:crosses val="autoZero"/>
        <c:crossBetween val="midCat"/>
      </c:valAx>
      <c:valAx>
        <c:axId val="18664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Penalties FY 2013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506736"/>
        <c:crosses val="autoZero"/>
        <c:crossBetween val="midCat"/>
      </c:valAx>
      <c:spPr>
        <a:noFill/>
        <a:ln>
          <a:noFill/>
        </a:ln>
        <a:effectLst/>
      </c:spPr>
    </c:plotArea>
    <c:legend>
      <c:legendPos val="r"/>
      <c:layout>
        <c:manualLayout>
          <c:xMode val="edge"/>
          <c:yMode val="edge"/>
          <c:x val="0.92949231760585427"/>
          <c:y val="0.44530819160487778"/>
          <c:w val="6.1295337852459823E-2"/>
          <c:h val="0.10938336159608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[2012_Workplace_Fatalities_by_State (1) - Copy.xlsx]Analysis Details!PivotTable7</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Programs total Injuries/Illnesses in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Details'!$B$32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463-4648-8995-52C351A4EC42}"/>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63-4648-8995-52C351A4EC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Details'!$A$33:$A$54</c:f>
              <c:strCache>
                <c:ptCount val="21"/>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strCache>
            </c:strRef>
          </c:cat>
          <c:val>
            <c:numRef>
              <c:f>'Analysis Details'!$B$33:$B$54</c:f>
              <c:numCache>
                <c:formatCode>General</c:formatCode>
                <c:ptCount val="21"/>
                <c:pt idx="0">
                  <c:v>9700</c:v>
                </c:pt>
                <c:pt idx="1">
                  <c:v>54400</c:v>
                </c:pt>
                <c:pt idx="2">
                  <c:v>345400</c:v>
                </c:pt>
                <c:pt idx="3">
                  <c:v>13700</c:v>
                </c:pt>
                <c:pt idx="4">
                  <c:v>77900</c:v>
                </c:pt>
                <c:pt idx="5">
                  <c:v>45600</c:v>
                </c:pt>
                <c:pt idx="6">
                  <c:v>48900</c:v>
                </c:pt>
                <c:pt idx="7">
                  <c:v>51900</c:v>
                </c:pt>
                <c:pt idx="8">
                  <c:v>105500</c:v>
                </c:pt>
                <c:pt idx="9">
                  <c:v>67500</c:v>
                </c:pt>
                <c:pt idx="10">
                  <c:v>32400</c:v>
                </c:pt>
                <c:pt idx="11">
                  <c:v>19900</c:v>
                </c:pt>
                <c:pt idx="12">
                  <c:v>75900</c:v>
                </c:pt>
                <c:pt idx="13">
                  <c:v>42900</c:v>
                </c:pt>
                <c:pt idx="14">
                  <c:v>36200</c:v>
                </c:pt>
                <c:pt idx="15">
                  <c:v>65100</c:v>
                </c:pt>
                <c:pt idx="16">
                  <c:v>27700</c:v>
                </c:pt>
                <c:pt idx="17">
                  <c:v>9900</c:v>
                </c:pt>
                <c:pt idx="18">
                  <c:v>66200</c:v>
                </c:pt>
                <c:pt idx="19">
                  <c:v>89300</c:v>
                </c:pt>
                <c:pt idx="20">
                  <c:v>6500</c:v>
                </c:pt>
              </c:numCache>
            </c:numRef>
          </c:val>
          <c:extLst>
            <c:ext xmlns:c16="http://schemas.microsoft.com/office/drawing/2014/chart" uri="{C3380CC4-5D6E-409C-BE32-E72D297353CC}">
              <c16:uniqueId val="{00000002-3463-4648-8995-52C351A4EC42}"/>
            </c:ext>
          </c:extLst>
        </c:ser>
        <c:dLbls>
          <c:showLegendKey val="0"/>
          <c:showVal val="1"/>
          <c:showCatName val="0"/>
          <c:showSerName val="0"/>
          <c:showPercent val="0"/>
          <c:showBubbleSize val="0"/>
        </c:dLbls>
        <c:gapWidth val="219"/>
        <c:overlap val="-27"/>
        <c:axId val="311620399"/>
        <c:axId val="311620879"/>
      </c:barChart>
      <c:catAx>
        <c:axId val="31162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0879"/>
        <c:crosses val="autoZero"/>
        <c:auto val="1"/>
        <c:lblAlgn val="ctr"/>
        <c:lblOffset val="100"/>
        <c:noMultiLvlLbl val="0"/>
      </c:catAx>
      <c:valAx>
        <c:axId val="31162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Injuries/illnesses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[2012_Workplace_Fatalities_by_State (1) - Copy.xlsx]Analysis Details!PivotTable5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a:t>
            </a:r>
            <a:r>
              <a:rPr lang="en-US" baseline="0"/>
              <a:t> vs. State Program Total Number of </a:t>
            </a:r>
            <a:r>
              <a:rPr lang="en-US" sz="1400" b="0" i="0" u="none" strike="noStrike" kern="1200" spc="0" baseline="0">
                <a:solidFill>
                  <a:sysClr val="windowText" lastClr="000000">
                    <a:lumMod val="65000"/>
                    <a:lumOff val="35000"/>
                  </a:sysClr>
                </a:solidFill>
                <a:latin typeface="Aptos Narrow" panose="02110004020202020204"/>
              </a:rPr>
              <a:t>Fatalities</a:t>
            </a:r>
            <a:r>
              <a:rPr lang="en-US" baseline="0"/>
              <a:t>, 2012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 Details'!$G$7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B6D-41EC-9775-9C646497DE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6D-41EC-9775-9C646497DE6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Details'!$F$8:$F$10</c:f>
              <c:strCache>
                <c:ptCount val="2"/>
                <c:pt idx="0">
                  <c:v>Federal</c:v>
                </c:pt>
                <c:pt idx="1">
                  <c:v>State</c:v>
                </c:pt>
              </c:strCache>
            </c:strRef>
          </c:cat>
          <c:val>
            <c:numRef>
              <c:f>'Analysis Details'!$G$8:$G$10</c:f>
              <c:numCache>
                <c:formatCode>_(* #,##0.00_);_(* \(#,##0.00\);_(* "-"??_);_(@_)</c:formatCode>
                <c:ptCount val="2"/>
                <c:pt idx="0">
                  <c:v>2814</c:v>
                </c:pt>
                <c:pt idx="1">
                  <c:v>1803</c:v>
                </c:pt>
              </c:numCache>
            </c:numRef>
          </c:val>
          <c:extLst>
            <c:ext xmlns:c16="http://schemas.microsoft.com/office/drawing/2014/chart" uri="{C3380CC4-5D6E-409C-BE32-E72D297353CC}">
              <c16:uniqueId val="{00000000-8B6D-41EC-9775-9C646497DE6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[2012_Workplace_Fatalities_by_State (1) - Copy.xlsx]Analysis Details!PivotTable7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Programs total Injuries/Illnesses in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Details'!$B$32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5F0E-4F86-AB07-D8A9EC1EF412}"/>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0E-4F86-AB07-D8A9EC1EF4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Details'!$A$33:$A$54</c:f>
              <c:strCache>
                <c:ptCount val="21"/>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strCache>
            </c:strRef>
          </c:cat>
          <c:val>
            <c:numRef>
              <c:f>'Analysis Details'!$B$33:$B$54</c:f>
              <c:numCache>
                <c:formatCode>General</c:formatCode>
                <c:ptCount val="21"/>
                <c:pt idx="0">
                  <c:v>9700</c:v>
                </c:pt>
                <c:pt idx="1">
                  <c:v>54400</c:v>
                </c:pt>
                <c:pt idx="2">
                  <c:v>345400</c:v>
                </c:pt>
                <c:pt idx="3">
                  <c:v>13700</c:v>
                </c:pt>
                <c:pt idx="4">
                  <c:v>77900</c:v>
                </c:pt>
                <c:pt idx="5">
                  <c:v>45600</c:v>
                </c:pt>
                <c:pt idx="6">
                  <c:v>48900</c:v>
                </c:pt>
                <c:pt idx="7">
                  <c:v>51900</c:v>
                </c:pt>
                <c:pt idx="8">
                  <c:v>105500</c:v>
                </c:pt>
                <c:pt idx="9">
                  <c:v>67500</c:v>
                </c:pt>
                <c:pt idx="10">
                  <c:v>32400</c:v>
                </c:pt>
                <c:pt idx="11">
                  <c:v>19900</c:v>
                </c:pt>
                <c:pt idx="12">
                  <c:v>75900</c:v>
                </c:pt>
                <c:pt idx="13">
                  <c:v>42900</c:v>
                </c:pt>
                <c:pt idx="14">
                  <c:v>36200</c:v>
                </c:pt>
                <c:pt idx="15">
                  <c:v>65100</c:v>
                </c:pt>
                <c:pt idx="16">
                  <c:v>27700</c:v>
                </c:pt>
                <c:pt idx="17">
                  <c:v>9900</c:v>
                </c:pt>
                <c:pt idx="18">
                  <c:v>66200</c:v>
                </c:pt>
                <c:pt idx="19">
                  <c:v>89300</c:v>
                </c:pt>
                <c:pt idx="20">
                  <c:v>6500</c:v>
                </c:pt>
              </c:numCache>
            </c:numRef>
          </c:val>
          <c:extLst>
            <c:ext xmlns:c16="http://schemas.microsoft.com/office/drawing/2014/chart" uri="{C3380CC4-5D6E-409C-BE32-E72D297353CC}">
              <c16:uniqueId val="{00000000-8160-4247-A9A9-0FC26D22241D}"/>
            </c:ext>
          </c:extLst>
        </c:ser>
        <c:dLbls>
          <c:showLegendKey val="0"/>
          <c:showVal val="1"/>
          <c:showCatName val="0"/>
          <c:showSerName val="0"/>
          <c:showPercent val="0"/>
          <c:showBubbleSize val="0"/>
        </c:dLbls>
        <c:gapWidth val="219"/>
        <c:overlap val="-27"/>
        <c:axId val="311620399"/>
        <c:axId val="311620879"/>
      </c:barChart>
      <c:catAx>
        <c:axId val="31162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0879"/>
        <c:crosses val="autoZero"/>
        <c:auto val="1"/>
        <c:lblAlgn val="ctr"/>
        <c:lblOffset val="100"/>
        <c:noMultiLvlLbl val="0"/>
      </c:catAx>
      <c:valAx>
        <c:axId val="31162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Injuries/illnesses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Relationship Between the Average # of years to inspect each Workplace Once and the # of Fatalites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87837205066669"/>
          <c:y val="0.20741819035537962"/>
          <c:w val="0.78182694600491776"/>
          <c:h val="0.68525233704213206"/>
        </c:manualLayout>
      </c:layout>
      <c:scatterChart>
        <c:scatterStyle val="lineMarker"/>
        <c:varyColors val="0"/>
        <c:ser>
          <c:idx val="0"/>
          <c:order val="0"/>
          <c:tx>
            <c:strRef>
              <c:f>'Analysis Details'!$F$65</c:f>
              <c:strCache>
                <c:ptCount val="1"/>
                <c:pt idx="0">
                  <c:v>Sum of Rate of Fatalities, 2012</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1"/>
            <c:dispEq val="1"/>
            <c:trendlineLbl>
              <c:layout>
                <c:manualLayout>
                  <c:x val="-1.9583523804291621E-2"/>
                  <c:y val="-0.30067836740606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'Analysis Details'!$E$66:$E$115</c:f>
              <c:numCache>
                <c:formatCode>General</c:formatCode>
                <c:ptCount val="50"/>
                <c:pt idx="0">
                  <c:v>0.94</c:v>
                </c:pt>
                <c:pt idx="1">
                  <c:v>0.57999999999999996</c:v>
                </c:pt>
                <c:pt idx="2">
                  <c:v>1.26</c:v>
                </c:pt>
                <c:pt idx="3">
                  <c:v>2.37</c:v>
                </c:pt>
                <c:pt idx="4">
                  <c:v>1.79</c:v>
                </c:pt>
                <c:pt idx="5">
                  <c:v>1.22</c:v>
                </c:pt>
                <c:pt idx="6">
                  <c:v>1.07</c:v>
                </c:pt>
                <c:pt idx="7">
                  <c:v>1.75</c:v>
                </c:pt>
                <c:pt idx="8">
                  <c:v>2.38</c:v>
                </c:pt>
                <c:pt idx="9">
                  <c:v>1.38</c:v>
                </c:pt>
                <c:pt idx="10">
                  <c:v>0.79</c:v>
                </c:pt>
                <c:pt idx="11">
                  <c:v>1.08</c:v>
                </c:pt>
                <c:pt idx="12">
                  <c:v>1.37</c:v>
                </c:pt>
                <c:pt idx="13">
                  <c:v>1.04</c:v>
                </c:pt>
                <c:pt idx="14">
                  <c:v>0.98</c:v>
                </c:pt>
                <c:pt idx="15">
                  <c:v>1.1000000000000001</c:v>
                </c:pt>
                <c:pt idx="16">
                  <c:v>1.24</c:v>
                </c:pt>
                <c:pt idx="17">
                  <c:v>2.06</c:v>
                </c:pt>
                <c:pt idx="18">
                  <c:v>0.8</c:v>
                </c:pt>
                <c:pt idx="19">
                  <c:v>1.08</c:v>
                </c:pt>
                <c:pt idx="20">
                  <c:v>1.23</c:v>
                </c:pt>
                <c:pt idx="21">
                  <c:v>0.45</c:v>
                </c:pt>
                <c:pt idx="22">
                  <c:v>0.56999999999999995</c:v>
                </c:pt>
                <c:pt idx="23">
                  <c:v>1.1200000000000001</c:v>
                </c:pt>
                <c:pt idx="24">
                  <c:v>1.18</c:v>
                </c:pt>
                <c:pt idx="25">
                  <c:v>1.35</c:v>
                </c:pt>
                <c:pt idx="26">
                  <c:v>1.28</c:v>
                </c:pt>
                <c:pt idx="27">
                  <c:v>0.49</c:v>
                </c:pt>
                <c:pt idx="28">
                  <c:v>1.19</c:v>
                </c:pt>
                <c:pt idx="29">
                  <c:v>1.23</c:v>
                </c:pt>
                <c:pt idx="30">
                  <c:v>1.91</c:v>
                </c:pt>
                <c:pt idx="31">
                  <c:v>1.84</c:v>
                </c:pt>
                <c:pt idx="32">
                  <c:v>0.6</c:v>
                </c:pt>
                <c:pt idx="33">
                  <c:v>1.1100000000000001</c:v>
                </c:pt>
                <c:pt idx="34">
                  <c:v>1.1200000000000001</c:v>
                </c:pt>
                <c:pt idx="35">
                  <c:v>1.31</c:v>
                </c:pt>
                <c:pt idx="36">
                  <c:v>0.31</c:v>
                </c:pt>
                <c:pt idx="37">
                  <c:v>1.25</c:v>
                </c:pt>
                <c:pt idx="38">
                  <c:v>1.03</c:v>
                </c:pt>
                <c:pt idx="39">
                  <c:v>1.1100000000000001</c:v>
                </c:pt>
                <c:pt idx="40">
                  <c:v>5.21</c:v>
                </c:pt>
                <c:pt idx="41">
                  <c:v>0.82</c:v>
                </c:pt>
                <c:pt idx="42">
                  <c:v>1.36</c:v>
                </c:pt>
                <c:pt idx="43">
                  <c:v>0.81</c:v>
                </c:pt>
                <c:pt idx="44">
                  <c:v>0.68</c:v>
                </c:pt>
                <c:pt idx="45">
                  <c:v>0.82</c:v>
                </c:pt>
                <c:pt idx="46">
                  <c:v>0.5</c:v>
                </c:pt>
                <c:pt idx="47">
                  <c:v>1.73</c:v>
                </c:pt>
                <c:pt idx="48">
                  <c:v>1.04</c:v>
                </c:pt>
                <c:pt idx="49">
                  <c:v>1.01</c:v>
                </c:pt>
              </c:numCache>
            </c:numRef>
          </c:xVal>
          <c:yVal>
            <c:numRef>
              <c:f>'Analysis Details'!$F$66:$F$115</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yVal>
          <c:smooth val="0"/>
          <c:extLst>
            <c:ext xmlns:c16="http://schemas.microsoft.com/office/drawing/2014/chart" uri="{C3380CC4-5D6E-409C-BE32-E72D297353CC}">
              <c16:uniqueId val="{00000000-6C4C-43FA-A4D7-5E93D0BF80AC}"/>
            </c:ext>
          </c:extLst>
        </c:ser>
        <c:dLbls>
          <c:showLegendKey val="0"/>
          <c:showVal val="0"/>
          <c:showCatName val="0"/>
          <c:showSerName val="0"/>
          <c:showPercent val="0"/>
          <c:showBubbleSize val="0"/>
        </c:dLbls>
        <c:axId val="1155887471"/>
        <c:axId val="1155886511"/>
      </c:scatterChart>
      <c:valAx>
        <c:axId val="115588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Average</a:t>
                </a:r>
                <a:r>
                  <a:rPr lang="en-US" sz="1200" baseline="0"/>
                  <a:t> Number</a:t>
                </a:r>
                <a:r>
                  <a:rPr lang="en-US" sz="1200"/>
                  <a:t> of years to inspect each Workplace Once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86511"/>
        <c:crosses val="autoZero"/>
        <c:crossBetween val="midCat"/>
        <c:majorUnit val="0.5"/>
      </c:valAx>
      <c:valAx>
        <c:axId val="1155886511"/>
        <c:scaling>
          <c:orientation val="minMax"/>
          <c:max val="2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a:t>Rate of Fatalities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87471"/>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[2012_Workplace_Fatalities_by_State (1) - Copy.xlsx]Analysis Details!PivotTable2</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Federal vs. State Programs Rate of </a:t>
            </a:r>
            <a:r>
              <a:rPr lang="en-US" sz="1400" b="0" i="0" u="none" strike="noStrike" kern="1200" spc="0" baseline="0">
                <a:solidFill>
                  <a:sysClr val="windowText" lastClr="000000">
                    <a:lumMod val="65000"/>
                    <a:lumOff val="35000"/>
                  </a:sysClr>
                </a:solidFill>
                <a:latin typeface="Aptos Narrow" panose="02110004020202020204"/>
              </a:rPr>
              <a:t>Fatalities</a:t>
            </a:r>
            <a:r>
              <a:rPr lang="en-US" sz="1400" b="0" i="0" u="none" strike="noStrike" kern="1200" spc="0" baseline="0">
                <a:solidFill>
                  <a:sysClr val="windowText" lastClr="000000">
                    <a:lumMod val="65000"/>
                    <a:lumOff val="35000"/>
                  </a:sysClr>
                </a:solidFill>
                <a:latin typeface="+mn-lt"/>
                <a:ea typeface="+mn-ea"/>
                <a:cs typeface="+mn-cs"/>
              </a:rPr>
              <a:t>, 2012</a:t>
            </a:r>
          </a:p>
          <a:p>
            <a:pPr marL="0" marR="0" lvl="0" indent="0" algn="ctr" defTabSz="914400" rtl="0" eaLnBrk="1" fontAlgn="auto" latinLnBrk="0" hangingPunct="1">
              <a:lnSpc>
                <a:spcPct val="100000"/>
              </a:lnSpc>
              <a:spcBef>
                <a:spcPts val="0"/>
              </a:spcBef>
              <a:spcAft>
                <a:spcPts val="0"/>
              </a:spcAft>
              <a:buClrTx/>
              <a:buSzTx/>
              <a:buFontTx/>
              <a:buNone/>
              <a:tabLst/>
              <a:defRPr lang="en-US">
                <a:solidFill>
                  <a:sysClr val="windowText" lastClr="000000">
                    <a:lumMod val="65000"/>
                    <a:lumOff val="35000"/>
                  </a:sysClr>
                </a:solidFill>
              </a:defRPr>
            </a:pPr>
            <a:endParaRPr lang="en-US" sz="1400" b="0" i="0" u="none" strike="noStrike" kern="1200" spc="0" baseline="0">
              <a:solidFill>
                <a:sysClr val="windowText" lastClr="000000">
                  <a:lumMod val="65000"/>
                  <a:lumOff val="3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'Analysis Details'!$B$7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7C-4E0E-81DC-8D031CC37F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7C-4E0E-81DC-8D031CC37F3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Details'!$A$8:$A$10</c:f>
              <c:strCache>
                <c:ptCount val="2"/>
                <c:pt idx="0">
                  <c:v>Federal</c:v>
                </c:pt>
                <c:pt idx="1">
                  <c:v>State</c:v>
                </c:pt>
              </c:strCache>
            </c:strRef>
          </c:cat>
          <c:val>
            <c:numRef>
              <c:f>'Analysis Details'!$B$8:$B$10</c:f>
              <c:numCache>
                <c:formatCode>General</c:formatCode>
                <c:ptCount val="2"/>
                <c:pt idx="0">
                  <c:v>128.20000000000002</c:v>
                </c:pt>
                <c:pt idx="1">
                  <c:v>87.7</c:v>
                </c:pt>
              </c:numCache>
            </c:numRef>
          </c:val>
          <c:extLst>
            <c:ext xmlns:c16="http://schemas.microsoft.com/office/drawing/2014/chart" uri="{C3380CC4-5D6E-409C-BE32-E72D297353CC}">
              <c16:uniqueId val="{00000000-31C6-4AEB-ACB0-105C3411521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Penalties FY 2013 Dependence of Number of Inspectors for Federal and State Programs</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914260717410325E-2"/>
          <c:y val="0.13611597043320486"/>
          <c:w val="0.81569665275853209"/>
          <c:h val="0.73514974450719262"/>
        </c:manualLayout>
      </c:layout>
      <c:scatterChart>
        <c:scatterStyle val="lineMarker"/>
        <c:varyColors val="0"/>
        <c:ser>
          <c:idx val="1"/>
          <c:order val="0"/>
          <c:tx>
            <c:v>Federal</c:v>
          </c:tx>
          <c:spPr>
            <a:ln w="25400" cap="rnd">
              <a:noFill/>
              <a:round/>
            </a:ln>
            <a:effectLst/>
          </c:spPr>
          <c:marker>
            <c:symbol val="circle"/>
            <c:size val="5"/>
            <c:spPr>
              <a:solidFill>
                <a:schemeClr val="accent2"/>
              </a:solidFill>
              <a:ln w="9525">
                <a:solidFill>
                  <a:schemeClr val="accent2"/>
                </a:solidFill>
              </a:ln>
              <a:effectLst/>
            </c:spPr>
          </c:marker>
          <c:xVal>
            <c:numRef>
              <c:f>'Analysis Details'!$B$140:$B$168</c:f>
              <c:numCache>
                <c:formatCode>General</c:formatCode>
                <c:ptCount val="29"/>
                <c:pt idx="0">
                  <c:v>7</c:v>
                </c:pt>
                <c:pt idx="1">
                  <c:v>33</c:v>
                </c:pt>
                <c:pt idx="2">
                  <c:v>19</c:v>
                </c:pt>
                <c:pt idx="3">
                  <c:v>74</c:v>
                </c:pt>
                <c:pt idx="4">
                  <c:v>9</c:v>
                </c:pt>
                <c:pt idx="5">
                  <c:v>5</c:v>
                </c:pt>
                <c:pt idx="6">
                  <c:v>60</c:v>
                </c:pt>
                <c:pt idx="7">
                  <c:v>26</c:v>
                </c:pt>
                <c:pt idx="8">
                  <c:v>7</c:v>
                </c:pt>
                <c:pt idx="9">
                  <c:v>57</c:v>
                </c:pt>
                <c:pt idx="10">
                  <c:v>0</c:v>
                </c:pt>
                <c:pt idx="11">
                  <c:v>105</c:v>
                </c:pt>
                <c:pt idx="12">
                  <c:v>8</c:v>
                </c:pt>
                <c:pt idx="13">
                  <c:v>7</c:v>
                </c:pt>
                <c:pt idx="14">
                  <c:v>9</c:v>
                </c:pt>
                <c:pt idx="15">
                  <c:v>24</c:v>
                </c:pt>
                <c:pt idx="16">
                  <c:v>24</c:v>
                </c:pt>
                <c:pt idx="17">
                  <c:v>28</c:v>
                </c:pt>
                <c:pt idx="18">
                  <c:v>53</c:v>
                </c:pt>
                <c:pt idx="19">
                  <c:v>16</c:v>
                </c:pt>
                <c:pt idx="20">
                  <c:v>9</c:v>
                </c:pt>
                <c:pt idx="21">
                  <c:v>36</c:v>
                </c:pt>
                <c:pt idx="22">
                  <c:v>14</c:v>
                </c:pt>
                <c:pt idx="23">
                  <c:v>16</c:v>
                </c:pt>
                <c:pt idx="24">
                  <c:v>49</c:v>
                </c:pt>
                <c:pt idx="25">
                  <c:v>7</c:v>
                </c:pt>
                <c:pt idx="26">
                  <c:v>67</c:v>
                </c:pt>
                <c:pt idx="27">
                  <c:v>8</c:v>
                </c:pt>
                <c:pt idx="28">
                  <c:v>98</c:v>
                </c:pt>
              </c:numCache>
            </c:numRef>
          </c:xVal>
          <c:yVal>
            <c:numRef>
              <c:f>'Analysis Details'!$A$140:$A$168</c:f>
              <c:numCache>
                <c:formatCode>General</c:formatCode>
                <c:ptCount val="29"/>
                <c:pt idx="0">
                  <c:v>1798</c:v>
                </c:pt>
                <c:pt idx="1">
                  <c:v>1929</c:v>
                </c:pt>
                <c:pt idx="2">
                  <c:v>1872</c:v>
                </c:pt>
                <c:pt idx="3">
                  <c:v>1876</c:v>
                </c:pt>
                <c:pt idx="4">
                  <c:v>2565</c:v>
                </c:pt>
                <c:pt idx="5">
                  <c:v>2406</c:v>
                </c:pt>
                <c:pt idx="6">
                  <c:v>1821</c:v>
                </c:pt>
                <c:pt idx="7">
                  <c:v>1931</c:v>
                </c:pt>
                <c:pt idx="8">
                  <c:v>2243</c:v>
                </c:pt>
                <c:pt idx="9">
                  <c:v>1916</c:v>
                </c:pt>
                <c:pt idx="10">
                  <c:v>2346</c:v>
                </c:pt>
                <c:pt idx="11">
                  <c:v>2016</c:v>
                </c:pt>
                <c:pt idx="12">
                  <c:v>2083</c:v>
                </c:pt>
                <c:pt idx="13">
                  <c:v>1983</c:v>
                </c:pt>
                <c:pt idx="14">
                  <c:v>2569</c:v>
                </c:pt>
                <c:pt idx="15">
                  <c:v>1803</c:v>
                </c:pt>
                <c:pt idx="16">
                  <c:v>1735</c:v>
                </c:pt>
                <c:pt idx="17">
                  <c:v>1649</c:v>
                </c:pt>
                <c:pt idx="18">
                  <c:v>2156</c:v>
                </c:pt>
                <c:pt idx="19">
                  <c:v>1971</c:v>
                </c:pt>
                <c:pt idx="20">
                  <c:v>1449</c:v>
                </c:pt>
                <c:pt idx="21">
                  <c:v>2207</c:v>
                </c:pt>
                <c:pt idx="22">
                  <c:v>1515</c:v>
                </c:pt>
                <c:pt idx="23">
                  <c:v>1765</c:v>
                </c:pt>
                <c:pt idx="24">
                  <c:v>2061</c:v>
                </c:pt>
                <c:pt idx="25">
                  <c:v>2023</c:v>
                </c:pt>
                <c:pt idx="26">
                  <c:v>2151</c:v>
                </c:pt>
                <c:pt idx="27">
                  <c:v>3045</c:v>
                </c:pt>
                <c:pt idx="28">
                  <c:v>2187</c:v>
                </c:pt>
              </c:numCache>
            </c:numRef>
          </c:yVal>
          <c:smooth val="0"/>
          <c:extLst>
            <c:ext xmlns:c16="http://schemas.microsoft.com/office/drawing/2014/chart" uri="{C3380CC4-5D6E-409C-BE32-E72D297353CC}">
              <c16:uniqueId val="{00000000-59B6-4D2B-A79B-FB5AAFDE85AF}"/>
            </c:ext>
          </c:extLst>
        </c:ser>
        <c:ser>
          <c:idx val="2"/>
          <c:order val="1"/>
          <c:tx>
            <c:v>State</c:v>
          </c:tx>
          <c:spPr>
            <a:ln w="25400" cap="rnd">
              <a:noFill/>
              <a:round/>
            </a:ln>
            <a:effectLst/>
          </c:spPr>
          <c:marker>
            <c:symbol val="circle"/>
            <c:size val="5"/>
            <c:spPr>
              <a:solidFill>
                <a:schemeClr val="accent3"/>
              </a:solidFill>
              <a:ln w="9525">
                <a:solidFill>
                  <a:schemeClr val="accent3"/>
                </a:solidFill>
              </a:ln>
              <a:effectLst/>
            </c:spPr>
          </c:marker>
          <c:xVal>
            <c:numRef>
              <c:f>'Analysis Details'!$B$169:$B$189</c:f>
              <c:numCache>
                <c:formatCode>General</c:formatCode>
                <c:ptCount val="21"/>
                <c:pt idx="0">
                  <c:v>24</c:v>
                </c:pt>
                <c:pt idx="1">
                  <c:v>30</c:v>
                </c:pt>
                <c:pt idx="2">
                  <c:v>20</c:v>
                </c:pt>
                <c:pt idx="3">
                  <c:v>26</c:v>
                </c:pt>
                <c:pt idx="4">
                  <c:v>30</c:v>
                </c:pt>
                <c:pt idx="5">
                  <c:v>48</c:v>
                </c:pt>
                <c:pt idx="6">
                  <c:v>63</c:v>
                </c:pt>
                <c:pt idx="7">
                  <c:v>39</c:v>
                </c:pt>
                <c:pt idx="8">
                  <c:v>104</c:v>
                </c:pt>
                <c:pt idx="9">
                  <c:v>9</c:v>
                </c:pt>
                <c:pt idx="10">
                  <c:v>22</c:v>
                </c:pt>
                <c:pt idx="11">
                  <c:v>9</c:v>
                </c:pt>
                <c:pt idx="12">
                  <c:v>44</c:v>
                </c:pt>
                <c:pt idx="13">
                  <c:v>39</c:v>
                </c:pt>
                <c:pt idx="14">
                  <c:v>48</c:v>
                </c:pt>
                <c:pt idx="15">
                  <c:v>75</c:v>
                </c:pt>
                <c:pt idx="16">
                  <c:v>9</c:v>
                </c:pt>
                <c:pt idx="17">
                  <c:v>58</c:v>
                </c:pt>
                <c:pt idx="18">
                  <c:v>111</c:v>
                </c:pt>
                <c:pt idx="19">
                  <c:v>11</c:v>
                </c:pt>
                <c:pt idx="20">
                  <c:v>216</c:v>
                </c:pt>
              </c:numCache>
            </c:numRef>
          </c:xVal>
          <c:yVal>
            <c:numRef>
              <c:f>'Analysis Details'!$A$169:$A$189</c:f>
              <c:numCache>
                <c:formatCode>General</c:formatCode>
                <c:ptCount val="21"/>
                <c:pt idx="0">
                  <c:v>492</c:v>
                </c:pt>
                <c:pt idx="1">
                  <c:v>727</c:v>
                </c:pt>
                <c:pt idx="2">
                  <c:v>964</c:v>
                </c:pt>
                <c:pt idx="3">
                  <c:v>790</c:v>
                </c:pt>
                <c:pt idx="4">
                  <c:v>891</c:v>
                </c:pt>
                <c:pt idx="5">
                  <c:v>726</c:v>
                </c:pt>
                <c:pt idx="6">
                  <c:v>542</c:v>
                </c:pt>
                <c:pt idx="7">
                  <c:v>1054</c:v>
                </c:pt>
                <c:pt idx="8">
                  <c:v>996</c:v>
                </c:pt>
                <c:pt idx="9">
                  <c:v>998</c:v>
                </c:pt>
                <c:pt idx="10">
                  <c:v>1053</c:v>
                </c:pt>
                <c:pt idx="11">
                  <c:v>1008</c:v>
                </c:pt>
                <c:pt idx="12">
                  <c:v>2133</c:v>
                </c:pt>
                <c:pt idx="13">
                  <c:v>3254</c:v>
                </c:pt>
                <c:pt idx="14">
                  <c:v>685</c:v>
                </c:pt>
                <c:pt idx="15">
                  <c:v>363</c:v>
                </c:pt>
                <c:pt idx="16">
                  <c:v>1777</c:v>
                </c:pt>
                <c:pt idx="17">
                  <c:v>768</c:v>
                </c:pt>
                <c:pt idx="18">
                  <c:v>791</c:v>
                </c:pt>
                <c:pt idx="19">
                  <c:v>889</c:v>
                </c:pt>
                <c:pt idx="20">
                  <c:v>6422</c:v>
                </c:pt>
              </c:numCache>
            </c:numRef>
          </c:yVal>
          <c:smooth val="0"/>
          <c:extLst>
            <c:ext xmlns:c16="http://schemas.microsoft.com/office/drawing/2014/chart" uri="{C3380CC4-5D6E-409C-BE32-E72D297353CC}">
              <c16:uniqueId val="{00000001-59B6-4D2B-A79B-FB5AAFDE85AF}"/>
            </c:ext>
          </c:extLst>
        </c:ser>
        <c:dLbls>
          <c:showLegendKey val="0"/>
          <c:showVal val="0"/>
          <c:showCatName val="0"/>
          <c:showSerName val="0"/>
          <c:showPercent val="0"/>
          <c:showBubbleSize val="0"/>
        </c:dLbls>
        <c:axId val="1866506736"/>
        <c:axId val="1866488016"/>
      </c:scatterChart>
      <c:valAx>
        <c:axId val="1866506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Inspectors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88016"/>
        <c:crosses val="autoZero"/>
        <c:crossBetween val="midCat"/>
      </c:valAx>
      <c:valAx>
        <c:axId val="18664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Penalties FY 2013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506736"/>
        <c:crosses val="autoZero"/>
        <c:crossBetween val="midCat"/>
      </c:valAx>
      <c:spPr>
        <a:noFill/>
        <a:ln>
          <a:noFill/>
        </a:ln>
        <a:effectLst/>
      </c:spPr>
    </c:plotArea>
    <c:legend>
      <c:legendPos val="r"/>
      <c:layout>
        <c:manualLayout>
          <c:xMode val="edge"/>
          <c:yMode val="edge"/>
          <c:x val="0.92949231760585427"/>
          <c:y val="0.44530819160487778"/>
          <c:w val="6.1295337852459823E-2"/>
          <c:h val="0.10938336159608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Total Number of Fatalities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Total Number of Fatalities by Region</a:t>
          </a:r>
        </a:p>
      </cx:txPr>
    </cx:title>
    <cx:plotArea>
      <cx:plotAreaRegion>
        <cx:series layoutId="boxWhisker" uniqueId="{AAA3D657-54F3-4EDD-8DAB-E13194A93F00}">
          <cx:tx>
            <cx:txData>
              <cx:f>_xlchart.v1.0</cx:f>
              <cx:v>Midwest</cx:v>
            </cx:txData>
          </cx:tx>
          <cx:dataId val="0"/>
          <cx:layoutPr>
            <cx:visibility meanLine="0" meanMarker="1" nonoutliers="0" outliers="1"/>
            <cx:statistics quartileMethod="exclusive"/>
          </cx:layoutPr>
        </cx:series>
        <cx:series layoutId="boxWhisker" uniqueId="{CB4F9A9A-AD22-4E0B-8458-1093D6B1BAA5}">
          <cx:tx>
            <cx:txData>
              <cx:f>_xlchart.v1.2</cx:f>
              <cx:v>Northeast</cx:v>
            </cx:txData>
          </cx:tx>
          <cx:dataId val="1"/>
          <cx:layoutPr>
            <cx:visibility meanLine="0" meanMarker="1" nonoutliers="0" outliers="1"/>
            <cx:statistics quartileMethod="exclusive"/>
          </cx:layoutPr>
        </cx:series>
        <cx:series layoutId="boxWhisker" uniqueId="{8B375C76-FAD0-49A6-B40C-601DA69484C7}">
          <cx:tx>
            <cx:txData>
              <cx:f>_xlchart.v1.4</cx:f>
              <cx:v>South</cx:v>
            </cx:txData>
          </cx:tx>
          <cx:dataId val="2"/>
          <cx:layoutPr>
            <cx:visibility meanLine="0" meanMarker="1" nonoutliers="0" outliers="1"/>
            <cx:statistics quartileMethod="exclusive"/>
          </cx:layoutPr>
        </cx:series>
        <cx:series layoutId="boxWhisker" uniqueId="{B1871C7F-5E10-4738-A609-63BC4168AB96}">
          <cx:tx>
            <cx:txData>
              <cx:f>_xlchart.v1.6</cx:f>
              <cx:v>West</cx:v>
            </cx:txData>
          </cx:tx>
          <cx:dataId val="3"/>
          <cx:layoutPr>
            <cx:visibility meanLine="0" meanMarker="1" nonoutliers="0" outliers="1"/>
            <cx:statistics quartileMethod="exclusive"/>
          </cx:layoutPr>
        </cx:series>
      </cx:plotAreaRegion>
      <cx:axis id="0" hidden="1">
        <cx:catScaling gapWidth="1"/>
        <cx:tickLabels/>
      </cx:axis>
      <cx:axis id="1">
        <cx:valScaling/>
        <cx:title>
          <cx:tx>
            <cx:txData>
              <cx:v>Number of Fatalitities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Number of Fatalitities</a:t>
              </a:r>
            </a:p>
          </cx:txPr>
        </cx:title>
        <cx:majorGridlines/>
        <cx:tickLabels/>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Total Number of Fatalities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Total Number of Fatalities by Region</a:t>
          </a:r>
        </a:p>
      </cx:txPr>
    </cx:title>
    <cx:plotArea>
      <cx:plotAreaRegion>
        <cx:series layoutId="boxWhisker" uniqueId="{AAA3D657-54F3-4EDD-8DAB-E13194A93F00}">
          <cx:tx>
            <cx:txData>
              <cx:f>_xlchart.v1.8</cx:f>
              <cx:v>Midwest</cx:v>
            </cx:txData>
          </cx:tx>
          <cx:dataId val="0"/>
          <cx:layoutPr>
            <cx:visibility meanLine="0" meanMarker="1" nonoutliers="0" outliers="1"/>
            <cx:statistics quartileMethod="exclusive"/>
          </cx:layoutPr>
        </cx:series>
        <cx:series layoutId="boxWhisker" uniqueId="{CB4F9A9A-AD22-4E0B-8458-1093D6B1BAA5}">
          <cx:tx>
            <cx:txData>
              <cx:f>_xlchart.v1.10</cx:f>
              <cx:v>Northeast</cx:v>
            </cx:txData>
          </cx:tx>
          <cx:dataId val="1"/>
          <cx:layoutPr>
            <cx:visibility meanLine="0" meanMarker="1" nonoutliers="0" outliers="1"/>
            <cx:statistics quartileMethod="exclusive"/>
          </cx:layoutPr>
        </cx:series>
        <cx:series layoutId="boxWhisker" uniqueId="{8B375C76-FAD0-49A6-B40C-601DA69484C7}">
          <cx:tx>
            <cx:txData>
              <cx:f>_xlchart.v1.12</cx:f>
              <cx:v>South</cx:v>
            </cx:txData>
          </cx:tx>
          <cx:dataId val="2"/>
          <cx:layoutPr>
            <cx:visibility meanLine="0" meanMarker="1" nonoutliers="0" outliers="1"/>
            <cx:statistics quartileMethod="exclusive"/>
          </cx:layoutPr>
        </cx:series>
        <cx:series layoutId="boxWhisker" uniqueId="{B1871C7F-5E10-4738-A609-63BC4168AB96}">
          <cx:tx>
            <cx:txData>
              <cx:f>_xlchart.v1.14</cx:f>
              <cx:v>West</cx:v>
            </cx:txData>
          </cx:tx>
          <cx:dataId val="3"/>
          <cx:layoutPr>
            <cx:visibility meanLine="0" meanMarker="1" nonoutliers="0" outliers="1"/>
            <cx:statistics quartileMethod="exclusive"/>
          </cx:layoutPr>
        </cx:series>
      </cx:plotAreaRegion>
      <cx:axis id="0" hidden="1">
        <cx:catScaling gapWidth="1"/>
        <cx:tickLabels/>
      </cx:axis>
      <cx:axis id="1">
        <cx:valScaling/>
        <cx:title>
          <cx:tx>
            <cx:txData>
              <cx:v>Number of Fatalitities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Number of Fatalitities</a:t>
              </a:r>
            </a:p>
          </cx:txPr>
        </cx:title>
        <cx:majorGridlines/>
        <cx:tickLabels/>
      </cx:axis>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421957</xdr:colOff>
      <xdr:row>70</xdr:row>
      <xdr:rowOff>179070</xdr:rowOff>
    </xdr:from>
    <xdr:to>
      <xdr:col>7</xdr:col>
      <xdr:colOff>744855</xdr:colOff>
      <xdr:row>92</xdr:row>
      <xdr:rowOff>114300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B0912A2-8ED2-F4DA-0868-835DCA0B29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870757" y="13933170"/>
              <a:ext cx="8952548" cy="39166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11430</xdr:colOff>
      <xdr:row>3</xdr:row>
      <xdr:rowOff>19050</xdr:rowOff>
    </xdr:from>
    <xdr:to>
      <xdr:col>20</xdr:col>
      <xdr:colOff>554355</xdr:colOff>
      <xdr:row>27</xdr:row>
      <xdr:rowOff>152400</xdr:rowOff>
    </xdr:to>
    <xdr:graphicFrame macro="">
      <xdr:nvGraphicFramePr>
        <xdr:cNvPr id="2" name="Chart 1">
          <a:extLst>
            <a:ext uri="{FF2B5EF4-FFF2-40B4-BE49-F238E27FC236}">
              <a16:creationId xmlns:a16="http://schemas.microsoft.com/office/drawing/2014/main" id="{3A3D14A2-17E4-4811-BF23-297A1A2B3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59</xdr:row>
      <xdr:rowOff>175259</xdr:rowOff>
    </xdr:from>
    <xdr:to>
      <xdr:col>11</xdr:col>
      <xdr:colOff>762001</xdr:colOff>
      <xdr:row>88</xdr:row>
      <xdr:rowOff>22859</xdr:rowOff>
    </xdr:to>
    <xdr:graphicFrame macro="">
      <xdr:nvGraphicFramePr>
        <xdr:cNvPr id="4" name="Chart 3">
          <a:extLst>
            <a:ext uri="{FF2B5EF4-FFF2-40B4-BE49-F238E27FC236}">
              <a16:creationId xmlns:a16="http://schemas.microsoft.com/office/drawing/2014/main" id="{F0F49019-E737-4F11-BEAD-8D693FDCC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826771</xdr:colOff>
      <xdr:row>59</xdr:row>
      <xdr:rowOff>175259</xdr:rowOff>
    </xdr:from>
    <xdr:to>
      <xdr:col>24</xdr:col>
      <xdr:colOff>426721</xdr:colOff>
      <xdr:row>88</xdr:row>
      <xdr:rowOff>40005</xdr:rowOff>
    </xdr:to>
    <xdr:graphicFrame macro="">
      <xdr:nvGraphicFramePr>
        <xdr:cNvPr id="5" name="Chart 4">
          <a:extLst>
            <a:ext uri="{FF2B5EF4-FFF2-40B4-BE49-F238E27FC236}">
              <a16:creationId xmlns:a16="http://schemas.microsoft.com/office/drawing/2014/main" id="{F828910D-249C-43DB-8DD9-6682303E7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20955</xdr:colOff>
      <xdr:row>3</xdr:row>
      <xdr:rowOff>9525</xdr:rowOff>
    </xdr:from>
    <xdr:to>
      <xdr:col>11</xdr:col>
      <xdr:colOff>91440</xdr:colOff>
      <xdr:row>28</xdr:row>
      <xdr:rowOff>57150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0D187A2-1ABB-40F6-892B-78DD8D07BE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30555" y="552450"/>
              <a:ext cx="6299835" cy="4572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30</xdr:row>
      <xdr:rowOff>0</xdr:rowOff>
    </xdr:from>
    <xdr:to>
      <xdr:col>20</xdr:col>
      <xdr:colOff>590550</xdr:colOff>
      <xdr:row>56</xdr:row>
      <xdr:rowOff>0</xdr:rowOff>
    </xdr:to>
    <xdr:graphicFrame macro="">
      <xdr:nvGraphicFramePr>
        <xdr:cNvPr id="9" name="Chart 8">
          <a:extLst>
            <a:ext uri="{FF2B5EF4-FFF2-40B4-BE49-F238E27FC236}">
              <a16:creationId xmlns:a16="http://schemas.microsoft.com/office/drawing/2014/main" id="{6488F0F0-E774-44D3-8C52-1B6937C8A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320043</xdr:colOff>
      <xdr:row>5</xdr:row>
      <xdr:rowOff>0</xdr:rowOff>
    </xdr:from>
    <xdr:to>
      <xdr:col>9</xdr:col>
      <xdr:colOff>114300</xdr:colOff>
      <xdr:row>18</xdr:row>
      <xdr:rowOff>161925</xdr:rowOff>
    </xdr:to>
    <xdr:graphicFrame macro="">
      <xdr:nvGraphicFramePr>
        <xdr:cNvPr id="2" name="Chart 1">
          <a:extLst>
            <a:ext uri="{FF2B5EF4-FFF2-40B4-BE49-F238E27FC236}">
              <a16:creationId xmlns:a16="http://schemas.microsoft.com/office/drawing/2014/main" id="{B4D9C5FD-2656-0F29-2376-0BF3E91AB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1853566</xdr:colOff>
      <xdr:row>29</xdr:row>
      <xdr:rowOff>13334</xdr:rowOff>
    </xdr:from>
    <xdr:to>
      <xdr:col>9</xdr:col>
      <xdr:colOff>371476</xdr:colOff>
      <xdr:row>55</xdr:row>
      <xdr:rowOff>116205</xdr:rowOff>
    </xdr:to>
    <xdr:graphicFrame macro="">
      <xdr:nvGraphicFramePr>
        <xdr:cNvPr id="6" name="Chart 5">
          <a:extLst>
            <a:ext uri="{FF2B5EF4-FFF2-40B4-BE49-F238E27FC236}">
              <a16:creationId xmlns:a16="http://schemas.microsoft.com/office/drawing/2014/main" id="{E62E4A9D-8252-5121-1B2B-FFF3CEAEF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440055</xdr:colOff>
      <xdr:row>63</xdr:row>
      <xdr:rowOff>143826</xdr:rowOff>
    </xdr:from>
    <xdr:to>
      <xdr:col>10</xdr:col>
      <xdr:colOff>163831</xdr:colOff>
      <xdr:row>89</xdr:row>
      <xdr:rowOff>34290</xdr:rowOff>
    </xdr:to>
    <xdr:graphicFrame macro="">
      <xdr:nvGraphicFramePr>
        <xdr:cNvPr id="13" name="Chart 12">
          <a:extLst>
            <a:ext uri="{FF2B5EF4-FFF2-40B4-BE49-F238E27FC236}">
              <a16:creationId xmlns:a16="http://schemas.microsoft.com/office/drawing/2014/main" id="{793A0DB8-53DA-0637-4B93-994E13684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200025</xdr:colOff>
      <xdr:row>4</xdr:row>
      <xdr:rowOff>83820</xdr:rowOff>
    </xdr:from>
    <xdr:to>
      <xdr:col>4</xdr:col>
      <xdr:colOff>1238250</xdr:colOff>
      <xdr:row>18</xdr:row>
      <xdr:rowOff>152400</xdr:rowOff>
    </xdr:to>
    <xdr:graphicFrame macro="">
      <xdr:nvGraphicFramePr>
        <xdr:cNvPr id="7" name="Chart 6">
          <a:extLst>
            <a:ext uri="{FF2B5EF4-FFF2-40B4-BE49-F238E27FC236}">
              <a16:creationId xmlns:a16="http://schemas.microsoft.com/office/drawing/2014/main" id="{65A1D524-FA8C-F1AA-5489-B61CFADD4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1946910</xdr:colOff>
      <xdr:row>122</xdr:row>
      <xdr:rowOff>0</xdr:rowOff>
    </xdr:from>
    <xdr:to>
      <xdr:col>9</xdr:col>
      <xdr:colOff>779145</xdr:colOff>
      <xdr:row>129</xdr:row>
      <xdr:rowOff>131444</xdr:rowOff>
    </xdr:to>
    <mc:AlternateContent xmlns:mc="http://schemas.openxmlformats.org/markup-compatibility/2006">
      <mc:Choice xmlns:a14="http://schemas.microsoft.com/office/drawing/2010/main" Requires="a14">
        <xdr:graphicFrame macro="">
          <xdr:nvGraphicFramePr>
            <xdr:cNvPr id="3" name="State Reference">
              <a:extLst>
                <a:ext uri="{FF2B5EF4-FFF2-40B4-BE49-F238E27FC236}">
                  <a16:creationId xmlns:a16="http://schemas.microsoft.com/office/drawing/2014/main" id="{D35D4786-BE7F-42E4-BAC0-080E140E9893}"/>
                </a:ext>
              </a:extLst>
            </xdr:cNvPr>
            <xdr:cNvGraphicFramePr/>
          </xdr:nvGraphicFramePr>
          <xdr:xfrm>
            <a:off x="0" y="0"/>
            <a:ext cx="0" cy="0"/>
          </xdr:xfrm>
          <a:graphic>
            <a:graphicData uri="http://schemas.microsoft.com/office/drawing/2010/slicer">
              <sle:slicer xmlns:sle="http://schemas.microsoft.com/office/drawing/2010/slicer" name="State Reference"/>
            </a:graphicData>
          </a:graphic>
        </xdr:graphicFrame>
      </mc:Choice>
      <mc:Fallback>
        <xdr:sp macro="" textlink="">
          <xdr:nvSpPr>
            <xdr:cNvPr id="0" name=""/>
            <xdr:cNvSpPr>
              <a:spLocks noTextEdit="1"/>
            </xdr:cNvSpPr>
          </xdr:nvSpPr>
          <xdr:spPr>
            <a:xfrm>
              <a:off x="16179165" y="23564850"/>
              <a:ext cx="1834515" cy="1773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325753</xdr:colOff>
      <xdr:row>122</xdr:row>
      <xdr:rowOff>43814</xdr:rowOff>
    </xdr:from>
    <xdr:to>
      <xdr:col>8</xdr:col>
      <xdr:colOff>1697354</xdr:colOff>
      <xdr:row>129</xdr:row>
      <xdr:rowOff>135254</xdr:rowOff>
    </xdr:to>
    <mc:AlternateContent xmlns:mc="http://schemas.openxmlformats.org/markup-compatibility/2006">
      <mc:Choice xmlns:a14="http://schemas.microsoft.com/office/drawing/2010/main" Requires="a14">
        <xdr:graphicFrame macro="">
          <xdr:nvGraphicFramePr>
            <xdr:cNvPr id="4" name="Penalties FY 2013 (Average $)">
              <a:extLst>
                <a:ext uri="{FF2B5EF4-FFF2-40B4-BE49-F238E27FC236}">
                  <a16:creationId xmlns:a16="http://schemas.microsoft.com/office/drawing/2014/main" id="{205FF116-28B0-4902-89DE-EEED42FF6CCF}"/>
                </a:ext>
              </a:extLst>
            </xdr:cNvPr>
            <xdr:cNvGraphicFramePr/>
          </xdr:nvGraphicFramePr>
          <xdr:xfrm>
            <a:off x="0" y="0"/>
            <a:ext cx="0" cy="0"/>
          </xdr:xfrm>
          <a:graphic>
            <a:graphicData uri="http://schemas.microsoft.com/office/drawing/2010/slicer">
              <sle:slicer xmlns:sle="http://schemas.microsoft.com/office/drawing/2010/slicer" name="Penalties FY 2013 (Average $)"/>
            </a:graphicData>
          </a:graphic>
        </xdr:graphicFrame>
      </mc:Choice>
      <mc:Fallback>
        <xdr:sp macro="" textlink="">
          <xdr:nvSpPr>
            <xdr:cNvPr id="0" name=""/>
            <xdr:cNvSpPr>
              <a:spLocks noTextEdit="1"/>
            </xdr:cNvSpPr>
          </xdr:nvSpPr>
          <xdr:spPr>
            <a:xfrm>
              <a:off x="13514068" y="23610569"/>
              <a:ext cx="24098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122</xdr:row>
      <xdr:rowOff>66674</xdr:rowOff>
    </xdr:from>
    <xdr:to>
      <xdr:col>7</xdr:col>
      <xdr:colOff>192405</xdr:colOff>
      <xdr:row>129</xdr:row>
      <xdr:rowOff>121919</xdr:rowOff>
    </xdr:to>
    <mc:AlternateContent xmlns:mc="http://schemas.openxmlformats.org/markup-compatibility/2006">
      <mc:Choice xmlns:a14="http://schemas.microsoft.com/office/drawing/2010/main" Requires="a14">
        <xdr:graphicFrame macro="">
          <xdr:nvGraphicFramePr>
            <xdr:cNvPr id="5" name="Penalties FY 2013 (Rank)">
              <a:extLst>
                <a:ext uri="{FF2B5EF4-FFF2-40B4-BE49-F238E27FC236}">
                  <a16:creationId xmlns:a16="http://schemas.microsoft.com/office/drawing/2014/main" id="{17E08EEC-CF7A-4F38-8171-ABF899539CA7}"/>
                </a:ext>
              </a:extLst>
            </xdr:cNvPr>
            <xdr:cNvGraphicFramePr/>
          </xdr:nvGraphicFramePr>
          <xdr:xfrm>
            <a:off x="0" y="0"/>
            <a:ext cx="0" cy="0"/>
          </xdr:xfrm>
          <a:graphic>
            <a:graphicData uri="http://schemas.microsoft.com/office/drawing/2010/slicer">
              <sle:slicer xmlns:sle="http://schemas.microsoft.com/office/drawing/2010/slicer" name="Penalties FY 2013 (Rank)"/>
            </a:graphicData>
          </a:graphic>
        </xdr:graphicFrame>
      </mc:Choice>
      <mc:Fallback>
        <xdr:sp macro="" textlink="">
          <xdr:nvSpPr>
            <xdr:cNvPr id="0" name=""/>
            <xdr:cNvSpPr>
              <a:spLocks noTextEdit="1"/>
            </xdr:cNvSpPr>
          </xdr:nvSpPr>
          <xdr:spPr>
            <a:xfrm>
              <a:off x="11144250" y="23629619"/>
              <a:ext cx="2240280" cy="1697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586740</xdr:colOff>
      <xdr:row>137</xdr:row>
      <xdr:rowOff>95250</xdr:rowOff>
    </xdr:from>
    <xdr:to>
      <xdr:col>8</xdr:col>
      <xdr:colOff>657225</xdr:colOff>
      <xdr:row>159</xdr:row>
      <xdr:rowOff>20955</xdr:rowOff>
    </xdr:to>
    <xdr:graphicFrame macro="">
      <xdr:nvGraphicFramePr>
        <xdr:cNvPr id="8" name="Chart 7">
          <a:extLst>
            <a:ext uri="{FF2B5EF4-FFF2-40B4-BE49-F238E27FC236}">
              <a16:creationId xmlns:a16="http://schemas.microsoft.com/office/drawing/2014/main" id="{4FE4F7F3-4083-4504-A03D-58A6F4FD9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ca Butler" refreshedDate="45406.759414351851" createdVersion="8" refreshedVersion="8" minRefreshableVersion="3" recordCount="50" xr:uid="{B8D5CCD8-B428-4071-BA6B-41BA7A01538F}">
  <cacheSource type="worksheet">
    <worksheetSource name="Table2"/>
  </cacheSource>
  <cacheFields count="14">
    <cacheField name="State" numFmtId="0">
      <sharedItems containsNonDate="0"/>
    </cacheField>
    <cacheField name="State Reference" numFmtId="0">
      <sharedItems containsNonDate="0"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Region" numFmtId="0">
      <sharedItems containsNonDate="0" count="4">
        <s v="South"/>
        <s v="Northeast"/>
        <s v="Midwest"/>
        <s v="West"/>
      </sharedItems>
    </cacheField>
    <cacheField name="Number of Fatalities, 2012" numFmtId="0">
      <sharedItems containsSemiMixedTypes="0" containsString="0" containsNumber="1" containsInteger="1" minValue="8" maxValue="536"/>
    </cacheField>
    <cacheField name="Rate of Fatalities, 2012" numFmtId="0">
      <sharedItems containsSemiMixedTypes="0" containsString="0" containsNumber="1" minValue="1.4" maxValue="17.7" count="35">
        <n v="3.5"/>
        <n v="6.9"/>
        <n v="1.4"/>
        <n v="3.8"/>
        <n v="6.1"/>
        <n v="2.5"/>
        <n v="5.2"/>
        <n v="3.1"/>
        <n v="3.4"/>
        <n v="6.6"/>
        <n v="2.2999999999999998"/>
        <n v="2.7"/>
        <n v="3.3"/>
        <n v="4.2"/>
        <n v="2.2000000000000002"/>
        <n v="4.8"/>
        <n v="6.7"/>
        <n v="2.4"/>
        <n v="3"/>
        <n v="3.2"/>
        <n v="7.3"/>
        <n v="5.4"/>
        <n v="3.6"/>
        <n v="4.9000000000000004"/>
        <n v="2.6"/>
        <n v="4.3"/>
        <n v="2.1"/>
        <n v="12.2"/>
        <n v="5.7"/>
        <n v="4"/>
        <n v="5.5"/>
        <n v="6.4"/>
        <n v="1.7"/>
        <n v="8.9"/>
        <n v="17.7"/>
      </sharedItems>
    </cacheField>
    <cacheField name="State Rank, Fatalities 2012" numFmtId="0">
      <sharedItems containsSemiMixedTypes="0" containsString="0" containsNumber="1" containsInteger="1" minValue="1" maxValue="50"/>
    </cacheField>
    <cacheField name="Number of Injuries/Illnesses 2012" numFmtId="0">
      <sharedItems containsString="0" containsBlank="1" containsNumber="1" containsInteger="1" minValue="6500" maxValue="345400"/>
    </cacheField>
    <cacheField name="Injuries/Illnesses 2012 Rate" numFmtId="0">
      <sharedItems containsString="0" containsBlank="1" containsNumber="1" minValue="2.2999999999999998" maxValue="5.6" count="22">
        <n v="3"/>
        <n v="4.0999999999999996"/>
        <n v="3.1"/>
        <n v="3.5"/>
        <n v="3.6"/>
        <n v="3.2"/>
        <n v="3.9"/>
        <n v="2.8"/>
        <n v="3.8"/>
        <n v="4.5"/>
        <m/>
        <n v="2.7"/>
        <n v="3.3"/>
        <n v="4"/>
        <n v="2.9"/>
        <n v="2.5"/>
        <n v="3.4"/>
        <n v="5.6"/>
        <n v="5"/>
        <n v="4.8"/>
        <n v="2.2999999999999998"/>
        <n v="4.5999999999999996"/>
      </sharedItems>
    </cacheField>
    <cacheField name="Penalties FY 2013 (Average $)" numFmtId="0">
      <sharedItems containsSemiMixedTypes="0" containsString="0" containsNumber="1" containsInteger="1" minValue="363" maxValue="6422" count="50">
        <n v="492"/>
        <n v="1798"/>
        <n v="1929"/>
        <n v="727"/>
        <n v="1872"/>
        <n v="1876"/>
        <n v="2565"/>
        <n v="2406"/>
        <n v="964"/>
        <n v="790"/>
        <n v="891"/>
        <n v="1821"/>
        <n v="726"/>
        <n v="1931"/>
        <n v="542"/>
        <n v="1054"/>
        <n v="996"/>
        <n v="2243"/>
        <n v="998"/>
        <n v="1916"/>
        <n v="2346"/>
        <n v="2016"/>
        <n v="1053"/>
        <n v="2083"/>
        <n v="1983"/>
        <n v="1008"/>
        <n v="2569"/>
        <n v="2133"/>
        <n v="3254"/>
        <n v="685"/>
        <n v="1803"/>
        <n v="1735"/>
        <n v="363"/>
        <n v="1649"/>
        <n v="2156"/>
        <n v="1777"/>
        <n v="768"/>
        <n v="1971"/>
        <n v="1449"/>
        <n v="791"/>
        <n v="2207"/>
        <n v="1515"/>
        <n v="1765"/>
        <n v="2061"/>
        <n v="2023"/>
        <n v="889"/>
        <n v="2151"/>
        <n v="3045"/>
        <n v="2187"/>
        <n v="6422"/>
      </sharedItems>
    </cacheField>
    <cacheField name="Penalties FY 2013 (Rank)" numFmtId="0">
      <sharedItems containsSemiMixedTypes="0" containsString="0" containsNumber="1" containsInteger="1" minValue="1" maxValue="50" count="50">
        <n v="49"/>
        <n v="27"/>
        <n v="21"/>
        <n v="45"/>
        <n v="24"/>
        <n v="23"/>
        <n v="5"/>
        <n v="6"/>
        <n v="39"/>
        <n v="43"/>
        <n v="40"/>
        <n v="25"/>
        <n v="46"/>
        <n v="20"/>
        <n v="48"/>
        <n v="34"/>
        <n v="38"/>
        <n v="8"/>
        <n v="37"/>
        <n v="22"/>
        <n v="7"/>
        <n v="17"/>
        <n v="35"/>
        <n v="14"/>
        <n v="18"/>
        <n v="36"/>
        <n v="4"/>
        <n v="13"/>
        <n v="2"/>
        <n v="47"/>
        <n v="26"/>
        <n v="30"/>
        <n v="50"/>
        <n v="31"/>
        <n v="11"/>
        <n v="28"/>
        <n v="44"/>
        <n v="19"/>
        <n v="33"/>
        <n v="42"/>
        <n v="9"/>
        <n v="32"/>
        <n v="29"/>
        <n v="15"/>
        <n v="16"/>
        <n v="41"/>
        <n v="12"/>
        <n v="3"/>
        <n v="10"/>
        <n v="1"/>
      </sharedItems>
    </cacheField>
    <cacheField name="Inspectors" numFmtId="0">
      <sharedItems containsString="0" containsBlank="1" containsNumber="1" containsInteger="1" minValue="5" maxValue="216"/>
    </cacheField>
    <cacheField name="Years to Inspect Each Workplace Once (Do not use)" numFmtId="0">
      <sharedItems containsSemiMixedTypes="0" containsString="0" containsNumber="1" containsInteger="1" minValue="31" maxValue="521"/>
    </cacheField>
    <cacheField name="Years to Inspect Each Workplace Once" numFmtId="0">
      <sharedItems containsSemiMixedTypes="0" containsString="0" containsNumber="1" minValue="0.31" maxValue="5.21" count="44">
        <n v="1.1100000000000001"/>
        <n v="1.73"/>
        <n v="1.23"/>
        <n v="0.82"/>
        <n v="1.31"/>
        <n v="1.37"/>
        <n v="1.28"/>
        <n v="1.75"/>
        <n v="0.79"/>
        <n v="0.98"/>
        <n v="1.26"/>
        <n v="2.38"/>
        <n v="1.18"/>
        <n v="0.45"/>
        <n v="1.04"/>
        <n v="0.6"/>
        <n v="1.19"/>
        <n v="1.91"/>
        <n v="1.25"/>
        <n v="5.21"/>
        <n v="1.84"/>
        <n v="0.81"/>
        <n v="0.8"/>
        <n v="1.35"/>
        <n v="0.68"/>
        <n v="2.37"/>
        <n v="0.49"/>
        <n v="1.24"/>
        <n v="1.08"/>
        <n v="0.94"/>
        <n v="1.07"/>
        <n v="0.31"/>
        <n v="1.22"/>
        <n v="1.1200000000000001"/>
        <n v="1.01"/>
        <n v="0.56999999999999995"/>
        <n v="1.1000000000000001"/>
        <n v="0.5"/>
        <n v="2.06"/>
        <n v="1.38"/>
        <n v="1.03"/>
        <n v="0.57999999999999996"/>
        <n v="1.36"/>
        <n v="1.79"/>
      </sharedItems>
    </cacheField>
    <cacheField name="State or Federal Program" numFmtId="0">
      <sharedItems containsNonDate="0" count="2">
        <s v="State"/>
        <s v="Federal"/>
      </sharedItems>
    </cacheField>
  </cacheFields>
  <extLst>
    <ext xmlns:x14="http://schemas.microsoft.com/office/spreadsheetml/2009/9/main" uri="{725AE2AE-9491-48be-B2B4-4EB974FC3084}">
      <x14:pivotCacheDefinition pivotCacheId="16961441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ca Butler" refreshedDate="45407.800974768521" createdVersion="8" refreshedVersion="8" minRefreshableVersion="3" recordCount="50" xr:uid="{DD0529A4-70BB-4783-A7E8-E745AF898D2F}">
  <cacheSource type="worksheet">
    <worksheetSource name="Table1"/>
  </cacheSource>
  <cacheFields count="12">
    <cacheField name="State" numFmtId="0">
      <sharedItems containsNonDate="0"/>
    </cacheField>
    <cacheField name="State Reference" numFmtId="0">
      <sharedItems containsNonDate="0"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Number of Fatalities, 2012" numFmtId="0">
      <sharedItems containsSemiMixedTypes="0" containsString="0" containsNumber="1" containsInteger="1" minValue="8" maxValue="536"/>
    </cacheField>
    <cacheField name="Rate of Fatalities, 2012" numFmtId="0">
      <sharedItems containsSemiMixedTypes="0" containsString="0" containsNumber="1" minValue="1.4" maxValue="17.7"/>
    </cacheField>
    <cacheField name="State Rank, Fatalities 2012" numFmtId="0">
      <sharedItems containsSemiMixedTypes="0" containsString="0" containsNumber="1" containsInteger="1" minValue="1" maxValue="50"/>
    </cacheField>
    <cacheField name="Number of Injuries/Illnesses 2012" numFmtId="0">
      <sharedItems containsString="0" containsBlank="1" containsNumber="1" containsInteger="1" minValue="6500" maxValue="345400"/>
    </cacheField>
    <cacheField name="Injuries/Illnesses 2012 Rate" numFmtId="0">
      <sharedItems containsString="0" containsBlank="1" containsNumber="1" minValue="2.2999999999999998" maxValue="5.6"/>
    </cacheField>
    <cacheField name="Penalties FY 2013 (Average $)" numFmtId="0">
      <sharedItems containsSemiMixedTypes="0" containsString="0" containsNumber="1" containsInteger="1" minValue="363" maxValue="6422"/>
    </cacheField>
    <cacheField name="Penalties FY 2013 (Rank)" numFmtId="0">
      <sharedItems containsSemiMixedTypes="0" containsString="0" containsNumber="1" containsInteger="1" minValue="1" maxValue="50"/>
    </cacheField>
    <cacheField name="Inspectors" numFmtId="0">
      <sharedItems containsString="0" containsBlank="1" containsNumber="1" containsInteger="1" minValue="5" maxValue="216"/>
    </cacheField>
    <cacheField name="Years to Inspect Each Workplace Once" numFmtId="0">
      <sharedItems containsSemiMixedTypes="0" containsString="0" containsNumber="1" minValue="0.31" maxValue="5.21"/>
    </cacheField>
    <cacheField name="State or Federal Program" numFmtId="0">
      <sharedItems containsNonDate="0" count="2">
        <s v="State"/>
        <s v="Fede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South Carolina_x000a_(33.99882060100049, -81.04536765699964)"/>
    <x v="0"/>
    <x v="0"/>
    <n v="63"/>
    <x v="0"/>
    <n v="25"/>
    <n v="36200"/>
    <x v="0"/>
    <x v="0"/>
    <x v="0"/>
    <n v="24"/>
    <n v="111"/>
    <x v="0"/>
    <x v="0"/>
  </r>
  <r>
    <s v="West Virginia_x000a_(38.665511497000466, -80.71263935099967)"/>
    <x v="1"/>
    <x v="0"/>
    <n v="49"/>
    <x v="1"/>
    <n v="46"/>
    <n v="19800"/>
    <x v="1"/>
    <x v="1"/>
    <x v="1"/>
    <n v="7"/>
    <n v="173"/>
    <x v="1"/>
    <x v="1"/>
  </r>
  <r>
    <s v="Massachusetts_x000a_(42.27687306500047, -72.08268985899963)"/>
    <x v="2"/>
    <x v="1"/>
    <n v="44"/>
    <x v="2"/>
    <n v="1"/>
    <n v="69700"/>
    <x v="2"/>
    <x v="2"/>
    <x v="2"/>
    <n v="33"/>
    <n v="123"/>
    <x v="2"/>
    <x v="1"/>
  </r>
  <r>
    <s v="Tennessee_x000a_(35.680943063000484, -85.77448642199965)"/>
    <x v="3"/>
    <x v="0"/>
    <n v="101"/>
    <x v="3"/>
    <n v="30"/>
    <n v="65100"/>
    <x v="3"/>
    <x v="3"/>
    <x v="3"/>
    <n v="30"/>
    <n v="82"/>
    <x v="3"/>
    <x v="0"/>
  </r>
  <r>
    <s v="Oklahoma_x000a_(35.472034350000456, -97.52106845499969)"/>
    <x v="4"/>
    <x v="0"/>
    <n v="97"/>
    <x v="4"/>
    <n v="42"/>
    <n v="39000"/>
    <x v="4"/>
    <x v="4"/>
    <x v="4"/>
    <n v="19"/>
    <n v="131"/>
    <x v="4"/>
    <x v="1"/>
  </r>
  <r>
    <s v="Illinois_x000a_(40.48501278700047, -88.99770813999965)"/>
    <x v="5"/>
    <x v="2"/>
    <n v="146"/>
    <x v="5"/>
    <n v="10"/>
    <n v="124900"/>
    <x v="5"/>
    <x v="5"/>
    <x v="5"/>
    <n v="74"/>
    <n v="137"/>
    <x v="5"/>
    <x v="1"/>
  </r>
  <r>
    <s v="Nebraska_x000a_(41.64104043900045, -99.36571864599966)"/>
    <x v="6"/>
    <x v="2"/>
    <n v="48"/>
    <x v="6"/>
    <n v="38"/>
    <n v="24300"/>
    <x v="6"/>
    <x v="6"/>
    <x v="6"/>
    <n v="9"/>
    <n v="128"/>
    <x v="6"/>
    <x v="1"/>
  </r>
  <r>
    <s v="Delaware_x000a_(39.00883351400046, -75.57773943699965)"/>
    <x v="7"/>
    <x v="0"/>
    <n v="14"/>
    <x v="7"/>
    <n v="18"/>
    <n v="7900"/>
    <x v="7"/>
    <x v="7"/>
    <x v="7"/>
    <n v="5"/>
    <n v="175"/>
    <x v="7"/>
    <x v="1"/>
  </r>
  <r>
    <s v="Hawaii_x000a_(21.30485166200043, -157.85774691599974)"/>
    <x v="8"/>
    <x v="3"/>
    <n v="20"/>
    <x v="8"/>
    <n v="22"/>
    <n v="13700"/>
    <x v="8"/>
    <x v="8"/>
    <x v="8"/>
    <n v="20"/>
    <n v="79"/>
    <x v="8"/>
    <x v="0"/>
  </r>
  <r>
    <s v="Iowa_x000a_(42.469404401000475, -93.81648936699969)"/>
    <x v="9"/>
    <x v="2"/>
    <n v="97"/>
    <x v="9"/>
    <n v="44"/>
    <n v="45600"/>
    <x v="9"/>
    <x v="9"/>
    <x v="9"/>
    <n v="26"/>
    <n v="98"/>
    <x v="9"/>
    <x v="0"/>
  </r>
  <r>
    <s v="Arizona_x000a_(34.865973091000455, -111.76380949799972)"/>
    <x v="10"/>
    <x v="3"/>
    <n v="60"/>
    <x v="10"/>
    <n v="6"/>
    <n v="54400"/>
    <x v="5"/>
    <x v="10"/>
    <x v="10"/>
    <n v="30"/>
    <n v="126"/>
    <x v="10"/>
    <x v="0"/>
  </r>
  <r>
    <s v="Florida_x000a_(28.932042899000464, -81.92895558499964)"/>
    <x v="11"/>
    <x v="0"/>
    <n v="218"/>
    <x v="11"/>
    <n v="15"/>
    <m/>
    <x v="10"/>
    <x v="11"/>
    <x v="11"/>
    <n v="60"/>
    <n v="238"/>
    <x v="11"/>
    <x v="1"/>
  </r>
  <r>
    <s v="Virginia_x000a_(37.54268075100049, -78.45788924199968)"/>
    <x v="12"/>
    <x v="0"/>
    <n v="149"/>
    <x v="3"/>
    <n v="30"/>
    <n v="66200"/>
    <x v="11"/>
    <x v="12"/>
    <x v="12"/>
    <n v="48"/>
    <n v="82"/>
    <x v="3"/>
    <x v="0"/>
  </r>
  <r>
    <s v="Missouri_x000a_(38.63579372300046, -92.56629737199967)"/>
    <x v="13"/>
    <x v="2"/>
    <n v="88"/>
    <x v="12"/>
    <n v="21"/>
    <n v="60300"/>
    <x v="12"/>
    <x v="13"/>
    <x v="13"/>
    <n v="26"/>
    <n v="118"/>
    <x v="12"/>
    <x v="1"/>
  </r>
  <r>
    <s v="Michigan_x000a_(44.66131575600048, -84.71438724399968)"/>
    <x v="14"/>
    <x v="2"/>
    <n v="137"/>
    <x v="8"/>
    <n v="22"/>
    <n v="105500"/>
    <x v="13"/>
    <x v="14"/>
    <x v="14"/>
    <n v="63"/>
    <n v="45"/>
    <x v="13"/>
    <x v="0"/>
  </r>
  <r>
    <s v="Indiana_x000a_(39.76691364600049, -86.14995579899966)"/>
    <x v="15"/>
    <x v="2"/>
    <n v="115"/>
    <x v="13"/>
    <n v="33"/>
    <n v="77900"/>
    <x v="6"/>
    <x v="15"/>
    <x v="15"/>
    <n v="39"/>
    <n v="104"/>
    <x v="14"/>
    <x v="0"/>
  </r>
  <r>
    <s v="North Carolina_x000a_(35.46622388600048, -79.15924924699965)"/>
    <x v="16"/>
    <x v="0"/>
    <n v="146"/>
    <x v="0"/>
    <n v="25"/>
    <n v="75900"/>
    <x v="14"/>
    <x v="16"/>
    <x v="16"/>
    <n v="104"/>
    <n v="60"/>
    <x v="15"/>
    <x v="0"/>
  </r>
  <r>
    <s v="New Hampshire_x000a_(43.6559537330005, -71.50035726399966)"/>
    <x v="17"/>
    <x v="1"/>
    <n v="14"/>
    <x v="14"/>
    <n v="4"/>
    <m/>
    <x v="10"/>
    <x v="17"/>
    <x v="17"/>
    <n v="7"/>
    <n v="119"/>
    <x v="16"/>
    <x v="1"/>
  </r>
  <r>
    <s v="New Mexico_x000a_(34.52088247800049, -106.24057768899968)"/>
    <x v="18"/>
    <x v="3"/>
    <n v="39"/>
    <x v="15"/>
    <n v="35"/>
    <n v="19900"/>
    <x v="6"/>
    <x v="18"/>
    <x v="18"/>
    <n v="9"/>
    <n v="191"/>
    <x v="17"/>
    <x v="0"/>
  </r>
  <r>
    <s v="Pennsylvania_x000a_(40.79373106100047, -77.86069775999965)"/>
    <x v="19"/>
    <x v="1"/>
    <n v="194"/>
    <x v="8"/>
    <n v="22"/>
    <n v="155300"/>
    <x v="6"/>
    <x v="19"/>
    <x v="19"/>
    <n v="57"/>
    <n v="125"/>
    <x v="18"/>
    <x v="1"/>
  </r>
  <r>
    <s v="South Dakota_x000a_(44.35313342000046, -100.37352811899967)"/>
    <x v="20"/>
    <x v="2"/>
    <n v="31"/>
    <x v="16"/>
    <n v="45"/>
    <m/>
    <x v="10"/>
    <x v="20"/>
    <x v="20"/>
    <m/>
    <n v="521"/>
    <x v="19"/>
    <x v="1"/>
  </r>
  <r>
    <s v="New York_x000a_(42.82700023900048, -75.54396639699968)"/>
    <x v="21"/>
    <x v="1"/>
    <n v="202"/>
    <x v="17"/>
    <n v="8"/>
    <n v="146300"/>
    <x v="15"/>
    <x v="21"/>
    <x v="21"/>
    <n v="105"/>
    <n v="184"/>
    <x v="20"/>
    <x v="1"/>
  </r>
  <r>
    <s v="Utah_x000a_(39.36070374600047, -111.5871285339997)"/>
    <x v="22"/>
    <x v="3"/>
    <n v="39"/>
    <x v="18"/>
    <n v="17"/>
    <n v="27700"/>
    <x v="16"/>
    <x v="22"/>
    <x v="22"/>
    <n v="22"/>
    <n v="81"/>
    <x v="21"/>
    <x v="0"/>
  </r>
  <r>
    <s v="Maine_x000a_(45.254228663000504, -68.98502952999962)"/>
    <x v="23"/>
    <x v="1"/>
    <n v="19"/>
    <x v="19"/>
    <n v="20"/>
    <n v="21200"/>
    <x v="17"/>
    <x v="23"/>
    <x v="23"/>
    <n v="8"/>
    <n v="80"/>
    <x v="22"/>
    <x v="1"/>
  </r>
  <r>
    <s v="Montana_x000a_(47.066526051000494, -109.42441687999968)"/>
    <x v="24"/>
    <x v="3"/>
    <n v="34"/>
    <x v="20"/>
    <n v="47"/>
    <n v="13300"/>
    <x v="18"/>
    <x v="24"/>
    <x v="24"/>
    <n v="7"/>
    <n v="135"/>
    <x v="23"/>
    <x v="1"/>
  </r>
  <r>
    <s v="Vermont_x000a_(43.62538292400046, -72.51763944499965)"/>
    <x v="25"/>
    <x v="1"/>
    <n v="11"/>
    <x v="0"/>
    <n v="25"/>
    <n v="9900"/>
    <x v="18"/>
    <x v="25"/>
    <x v="25"/>
    <n v="9"/>
    <n v="68"/>
    <x v="24"/>
    <x v="0"/>
  </r>
  <r>
    <s v="Arkansas_x000a_(34.748651751000466, -92.27448794899965)"/>
    <x v="26"/>
    <x v="0"/>
    <n v="63"/>
    <x v="21"/>
    <n v="39"/>
    <n v="26600"/>
    <x v="5"/>
    <x v="26"/>
    <x v="26"/>
    <n v="9"/>
    <n v="237"/>
    <x v="25"/>
    <x v="1"/>
  </r>
  <r>
    <s v="Nevada_x000a_(39.49324126500045, -117.07183978499972)"/>
    <x v="27"/>
    <x v="3"/>
    <n v="42"/>
    <x v="22"/>
    <n v="29"/>
    <n v="32400"/>
    <x v="1"/>
    <x v="27"/>
    <x v="27"/>
    <n v="44"/>
    <n v="49"/>
    <x v="26"/>
    <x v="0"/>
  </r>
  <r>
    <s v="Kentucky_x000a_(37.645973909000475, -84.77496612599964)"/>
    <x v="28"/>
    <x v="0"/>
    <n v="91"/>
    <x v="23"/>
    <n v="37"/>
    <n v="48900"/>
    <x v="1"/>
    <x v="28"/>
    <x v="28"/>
    <n v="39"/>
    <n v="124"/>
    <x v="27"/>
    <x v="0"/>
  </r>
  <r>
    <s v="Maryland_x000a_(39.2905806980005, -76.60925970899967)"/>
    <x v="29"/>
    <x v="0"/>
    <n v="72"/>
    <x v="24"/>
    <n v="12"/>
    <n v="51900"/>
    <x v="2"/>
    <x v="29"/>
    <x v="29"/>
    <n v="48"/>
    <n v="108"/>
    <x v="28"/>
    <x v="0"/>
  </r>
  <r>
    <s v="Alabama_x000a_(32.84057327200048, -86.63185803899967)"/>
    <x v="30"/>
    <x v="0"/>
    <n v="84"/>
    <x v="25"/>
    <n v="34"/>
    <n v="41200"/>
    <x v="12"/>
    <x v="30"/>
    <x v="30"/>
    <n v="24"/>
    <n v="94"/>
    <x v="29"/>
    <x v="1"/>
  </r>
  <r>
    <s v="Connecticut_x000a_(41.56266394200048, -72.64983753699966)"/>
    <x v="31"/>
    <x v="1"/>
    <n v="36"/>
    <x v="26"/>
    <n v="3"/>
    <n v="43800"/>
    <x v="6"/>
    <x v="31"/>
    <x v="31"/>
    <n v="24"/>
    <n v="107"/>
    <x v="30"/>
    <x v="1"/>
  </r>
  <r>
    <s v="Oregon_x000a_(44.567446178000466, -120.15502977999972)"/>
    <x v="32"/>
    <x v="3"/>
    <n v="43"/>
    <x v="24"/>
    <n v="12"/>
    <n v="42900"/>
    <x v="6"/>
    <x v="32"/>
    <x v="32"/>
    <n v="75"/>
    <n v="31"/>
    <x v="31"/>
    <x v="0"/>
  </r>
  <r>
    <s v="Colorado_x000a_(38.84384047000049, -106.13360888799969)"/>
    <x v="33"/>
    <x v="3"/>
    <n v="82"/>
    <x v="0"/>
    <n v="25"/>
    <m/>
    <x v="10"/>
    <x v="33"/>
    <x v="33"/>
    <n v="28"/>
    <n v="122"/>
    <x v="32"/>
    <x v="1"/>
  </r>
  <r>
    <s v="Ohio_x000a_(40.06021029700048, -82.40425685299965)"/>
    <x v="34"/>
    <x v="2"/>
    <n v="161"/>
    <x v="7"/>
    <n v="18"/>
    <n v="113600"/>
    <x v="5"/>
    <x v="34"/>
    <x v="34"/>
    <n v="53"/>
    <n v="112"/>
    <x v="33"/>
    <x v="1"/>
  </r>
  <r>
    <s v="Wyoming_x000a_(43.23554147100049, -108.10982744299969)"/>
    <x v="35"/>
    <x v="3"/>
    <n v="35"/>
    <x v="27"/>
    <n v="49"/>
    <n v="6500"/>
    <x v="3"/>
    <x v="35"/>
    <x v="35"/>
    <n v="9"/>
    <n v="101"/>
    <x v="34"/>
    <x v="0"/>
  </r>
  <r>
    <s v="Minnesota_x000a_(46.35564867700049, -94.79419697699967)"/>
    <x v="36"/>
    <x v="2"/>
    <n v="70"/>
    <x v="24"/>
    <n v="12"/>
    <n v="67500"/>
    <x v="8"/>
    <x v="36"/>
    <x v="36"/>
    <n v="58"/>
    <n v="57"/>
    <x v="35"/>
    <x v="0"/>
  </r>
  <r>
    <s v="Kansas_x000a_(38.34774033400049, -98.20077655499966)"/>
    <x v="37"/>
    <x v="2"/>
    <n v="76"/>
    <x v="28"/>
    <n v="41"/>
    <n v="33400"/>
    <x v="4"/>
    <x v="37"/>
    <x v="37"/>
    <n v="16"/>
    <n v="110"/>
    <x v="36"/>
    <x v="1"/>
  </r>
  <r>
    <s v="Idaho_x000a_(43.682630058000484, -114.3637261449997)"/>
    <x v="38"/>
    <x v="3"/>
    <n v="19"/>
    <x v="11"/>
    <n v="15"/>
    <m/>
    <x v="10"/>
    <x v="38"/>
    <x v="38"/>
    <n v="9"/>
    <n v="108"/>
    <x v="28"/>
    <x v="1"/>
  </r>
  <r>
    <s v="Washington_x000a_(47.522287905000496, -120.47002746299972)"/>
    <x v="39"/>
    <x v="3"/>
    <n v="67"/>
    <x v="14"/>
    <n v="4"/>
    <n v="89300"/>
    <x v="19"/>
    <x v="39"/>
    <x v="39"/>
    <n v="111"/>
    <n v="50"/>
    <x v="37"/>
    <x v="0"/>
  </r>
  <r>
    <s v="Wisconsin_x000a_(44.3931903350005, -89.81636715299965)"/>
    <x v="40"/>
    <x v="2"/>
    <n v="114"/>
    <x v="29"/>
    <n v="32"/>
    <n v="72900"/>
    <x v="13"/>
    <x v="40"/>
    <x v="40"/>
    <n v="36"/>
    <n v="104"/>
    <x v="14"/>
    <x v="1"/>
  </r>
  <r>
    <s v="Mississippi_x000a_(32.74551123200047, -89.53802764499966)"/>
    <x v="41"/>
    <x v="0"/>
    <n v="63"/>
    <x v="30"/>
    <n v="40"/>
    <m/>
    <x v="10"/>
    <x v="41"/>
    <x v="41"/>
    <n v="14"/>
    <n v="112"/>
    <x v="33"/>
    <x v="1"/>
  </r>
  <r>
    <s v="Louisiana_x000a_(31.312662564000448, -92.44567554599968)"/>
    <x v="42"/>
    <x v="0"/>
    <n v="116"/>
    <x v="31"/>
    <n v="43"/>
    <n v="30600"/>
    <x v="20"/>
    <x v="42"/>
    <x v="42"/>
    <n v="16"/>
    <n v="206"/>
    <x v="38"/>
    <x v="1"/>
  </r>
  <r>
    <s v="Georgia_x000a_(32.83968004200045, -83.62757601199968)"/>
    <x v="43"/>
    <x v="0"/>
    <n v="101"/>
    <x v="5"/>
    <n v="10"/>
    <n v="74800"/>
    <x v="7"/>
    <x v="43"/>
    <x v="43"/>
    <n v="49"/>
    <n v="138"/>
    <x v="39"/>
    <x v="1"/>
  </r>
  <r>
    <s v="Rhode Island_x000a_(41.70828281900049, -71.52246918099962)"/>
    <x v="44"/>
    <x v="1"/>
    <n v="8"/>
    <x v="32"/>
    <n v="2"/>
    <m/>
    <x v="10"/>
    <x v="44"/>
    <x v="44"/>
    <n v="7"/>
    <n v="103"/>
    <x v="40"/>
    <x v="1"/>
  </r>
  <r>
    <s v="Alaska_x000a_(64.84507923900048, -147.72205669099972)"/>
    <x v="45"/>
    <x v="3"/>
    <n v="31"/>
    <x v="33"/>
    <n v="48"/>
    <n v="9700"/>
    <x v="21"/>
    <x v="45"/>
    <x v="45"/>
    <n v="11"/>
    <n v="58"/>
    <x v="41"/>
    <x v="0"/>
  </r>
  <r>
    <s v="New Jersey_x000a_(40.1305700530005, -74.27368565099965)"/>
    <x v="46"/>
    <x v="1"/>
    <n v="92"/>
    <x v="17"/>
    <n v="8"/>
    <n v="80900"/>
    <x v="2"/>
    <x v="46"/>
    <x v="46"/>
    <n v="67"/>
    <n v="123"/>
    <x v="2"/>
    <x v="1"/>
  </r>
  <r>
    <s v="North Dakota_x000a_(47.47531738700047, -100.11842599699969)"/>
    <x v="47"/>
    <x v="2"/>
    <n v="65"/>
    <x v="34"/>
    <n v="50"/>
    <m/>
    <x v="10"/>
    <x v="47"/>
    <x v="47"/>
    <n v="8"/>
    <n v="111"/>
    <x v="0"/>
    <x v="1"/>
  </r>
  <r>
    <s v="Texas_x000a_(31.827243635000457, -99.4267664729997)"/>
    <x v="48"/>
    <x v="0"/>
    <n v="536"/>
    <x v="15"/>
    <n v="35"/>
    <n v="203200"/>
    <x v="11"/>
    <x v="48"/>
    <x v="48"/>
    <n v="98"/>
    <n v="136"/>
    <x v="42"/>
    <x v="1"/>
  </r>
  <r>
    <s v="California_x000a_(37.638640488000476, -120.99999889499969)"/>
    <x v="49"/>
    <x v="3"/>
    <n v="375"/>
    <x v="10"/>
    <n v="6"/>
    <n v="345400"/>
    <x v="3"/>
    <x v="49"/>
    <x v="49"/>
    <n v="216"/>
    <n v="179"/>
    <x v="4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South Carolina_x000a_(33.99882060100049, -81.04536765699964)"/>
    <x v="0"/>
    <n v="63"/>
    <n v="3.5"/>
    <n v="25"/>
    <n v="36200"/>
    <n v="3"/>
    <n v="492"/>
    <n v="49"/>
    <n v="24"/>
    <n v="1.1100000000000001"/>
    <x v="0"/>
  </r>
  <r>
    <s v="West Virginia_x000a_(38.665511497000466, -80.71263935099967)"/>
    <x v="1"/>
    <n v="49"/>
    <n v="6.9"/>
    <n v="46"/>
    <n v="19800"/>
    <n v="4.0999999999999996"/>
    <n v="1798"/>
    <n v="27"/>
    <n v="7"/>
    <n v="1.73"/>
    <x v="1"/>
  </r>
  <r>
    <s v="Massachusetts_x000a_(42.27687306500047, -72.08268985899963)"/>
    <x v="2"/>
    <n v="44"/>
    <n v="1.4"/>
    <n v="1"/>
    <n v="69700"/>
    <n v="3.1"/>
    <n v="1929"/>
    <n v="21"/>
    <n v="33"/>
    <n v="1.23"/>
    <x v="1"/>
  </r>
  <r>
    <s v="Tennessee_x000a_(35.680943063000484, -85.77448642199965)"/>
    <x v="3"/>
    <n v="101"/>
    <n v="3.8"/>
    <n v="30"/>
    <n v="65100"/>
    <n v="3.5"/>
    <n v="727"/>
    <n v="45"/>
    <n v="30"/>
    <n v="0.82"/>
    <x v="0"/>
  </r>
  <r>
    <s v="Oklahoma_x000a_(35.472034350000456, -97.52106845499969)"/>
    <x v="4"/>
    <n v="97"/>
    <n v="6.1"/>
    <n v="42"/>
    <n v="39000"/>
    <n v="3.6"/>
    <n v="1872"/>
    <n v="24"/>
    <n v="19"/>
    <n v="1.31"/>
    <x v="1"/>
  </r>
  <r>
    <s v="Illinois_x000a_(40.48501278700047, -88.99770813999965)"/>
    <x v="5"/>
    <n v="146"/>
    <n v="2.5"/>
    <n v="10"/>
    <n v="124900"/>
    <n v="3.2"/>
    <n v="1876"/>
    <n v="23"/>
    <n v="74"/>
    <n v="1.37"/>
    <x v="1"/>
  </r>
  <r>
    <s v="Nebraska_x000a_(41.64104043900045, -99.36571864599966)"/>
    <x v="6"/>
    <n v="48"/>
    <n v="5.2"/>
    <n v="38"/>
    <n v="24300"/>
    <n v="3.9"/>
    <n v="2565"/>
    <n v="5"/>
    <n v="9"/>
    <n v="1.28"/>
    <x v="1"/>
  </r>
  <r>
    <s v="Delaware_x000a_(39.00883351400046, -75.57773943699965)"/>
    <x v="7"/>
    <n v="14"/>
    <n v="3.1"/>
    <n v="18"/>
    <n v="7900"/>
    <n v="2.8"/>
    <n v="2406"/>
    <n v="6"/>
    <n v="5"/>
    <n v="1.75"/>
    <x v="1"/>
  </r>
  <r>
    <s v="Hawaii_x000a_(21.30485166200043, -157.85774691599974)"/>
    <x v="8"/>
    <n v="20"/>
    <n v="3.4"/>
    <n v="22"/>
    <n v="13700"/>
    <n v="3.8"/>
    <n v="964"/>
    <n v="39"/>
    <n v="20"/>
    <n v="0.79"/>
    <x v="0"/>
  </r>
  <r>
    <s v="Iowa_x000a_(42.469404401000475, -93.81648936699969)"/>
    <x v="9"/>
    <n v="97"/>
    <n v="6.6"/>
    <n v="44"/>
    <n v="45600"/>
    <n v="4.5"/>
    <n v="790"/>
    <n v="43"/>
    <n v="26"/>
    <n v="0.98"/>
    <x v="0"/>
  </r>
  <r>
    <s v="Arizona_x000a_(34.865973091000455, -111.76380949799972)"/>
    <x v="10"/>
    <n v="60"/>
    <n v="2.2999999999999998"/>
    <n v="6"/>
    <n v="54400"/>
    <n v="3.2"/>
    <n v="891"/>
    <n v="40"/>
    <n v="30"/>
    <n v="1.26"/>
    <x v="0"/>
  </r>
  <r>
    <s v="Florida_x000a_(28.932042899000464, -81.92895558499964)"/>
    <x v="11"/>
    <n v="218"/>
    <n v="2.7"/>
    <n v="15"/>
    <m/>
    <m/>
    <n v="1821"/>
    <n v="25"/>
    <n v="60"/>
    <n v="2.38"/>
    <x v="1"/>
  </r>
  <r>
    <s v="Virginia_x000a_(37.54268075100049, -78.45788924199968)"/>
    <x v="12"/>
    <n v="149"/>
    <n v="3.8"/>
    <n v="30"/>
    <n v="66200"/>
    <n v="2.7"/>
    <n v="726"/>
    <n v="46"/>
    <n v="48"/>
    <n v="0.82"/>
    <x v="0"/>
  </r>
  <r>
    <s v="Missouri_x000a_(38.63579372300046, -92.56629737199967)"/>
    <x v="13"/>
    <n v="88"/>
    <n v="3.3"/>
    <n v="21"/>
    <n v="60300"/>
    <n v="3.3"/>
    <n v="1931"/>
    <n v="20"/>
    <n v="26"/>
    <n v="1.18"/>
    <x v="1"/>
  </r>
  <r>
    <s v="Michigan_x000a_(44.66131575600048, -84.71438724399968)"/>
    <x v="14"/>
    <n v="137"/>
    <n v="3.4"/>
    <n v="22"/>
    <n v="105500"/>
    <n v="4"/>
    <n v="542"/>
    <n v="48"/>
    <n v="63"/>
    <n v="0.45"/>
    <x v="0"/>
  </r>
  <r>
    <s v="Indiana_x000a_(39.76691364600049, -86.14995579899966)"/>
    <x v="15"/>
    <n v="115"/>
    <n v="4.2"/>
    <n v="33"/>
    <n v="77900"/>
    <n v="3.9"/>
    <n v="1054"/>
    <n v="34"/>
    <n v="39"/>
    <n v="1.04"/>
    <x v="0"/>
  </r>
  <r>
    <s v="North Carolina_x000a_(35.46622388600048, -79.15924924699965)"/>
    <x v="16"/>
    <n v="146"/>
    <n v="3.5"/>
    <n v="25"/>
    <n v="75900"/>
    <n v="2.9"/>
    <n v="996"/>
    <n v="38"/>
    <n v="104"/>
    <n v="0.6"/>
    <x v="0"/>
  </r>
  <r>
    <s v="New Hampshire_x000a_(43.6559537330005, -71.50035726399966)"/>
    <x v="17"/>
    <n v="14"/>
    <n v="2.2000000000000002"/>
    <n v="4"/>
    <m/>
    <m/>
    <n v="2243"/>
    <n v="8"/>
    <n v="7"/>
    <n v="1.19"/>
    <x v="1"/>
  </r>
  <r>
    <s v="New Mexico_x000a_(34.52088247800049, -106.24057768899968)"/>
    <x v="18"/>
    <n v="39"/>
    <n v="4.8"/>
    <n v="35"/>
    <n v="19900"/>
    <n v="3.9"/>
    <n v="998"/>
    <n v="37"/>
    <n v="9"/>
    <n v="1.91"/>
    <x v="0"/>
  </r>
  <r>
    <s v="Pennsylvania_x000a_(40.79373106100047, -77.86069775999965)"/>
    <x v="19"/>
    <n v="194"/>
    <n v="3.4"/>
    <n v="22"/>
    <n v="155300"/>
    <n v="3.9"/>
    <n v="1916"/>
    <n v="22"/>
    <n v="57"/>
    <n v="1.25"/>
    <x v="1"/>
  </r>
  <r>
    <s v="South Dakota_x000a_(44.35313342000046, -100.37352811899967)"/>
    <x v="20"/>
    <n v="31"/>
    <n v="6.7"/>
    <n v="45"/>
    <m/>
    <m/>
    <n v="2346"/>
    <n v="7"/>
    <m/>
    <n v="5.21"/>
    <x v="1"/>
  </r>
  <r>
    <s v="New York_x000a_(42.82700023900048, -75.54396639699968)"/>
    <x v="21"/>
    <n v="202"/>
    <n v="2.4"/>
    <n v="8"/>
    <n v="146300"/>
    <n v="2.5"/>
    <n v="2016"/>
    <n v="17"/>
    <n v="105"/>
    <n v="1.84"/>
    <x v="1"/>
  </r>
  <r>
    <s v="Utah_x000a_(39.36070374600047, -111.5871285339997)"/>
    <x v="22"/>
    <n v="39"/>
    <n v="3"/>
    <n v="17"/>
    <n v="27700"/>
    <n v="3.4"/>
    <n v="1053"/>
    <n v="35"/>
    <n v="22"/>
    <n v="0.81"/>
    <x v="0"/>
  </r>
  <r>
    <s v="Maine_x000a_(45.254228663000504, -68.98502952999962)"/>
    <x v="23"/>
    <n v="19"/>
    <n v="3.2"/>
    <n v="20"/>
    <n v="21200"/>
    <n v="5.6"/>
    <n v="2083"/>
    <n v="14"/>
    <n v="8"/>
    <n v="0.8"/>
    <x v="1"/>
  </r>
  <r>
    <s v="Montana_x000a_(47.066526051000494, -109.42441687999968)"/>
    <x v="24"/>
    <n v="34"/>
    <n v="7.3"/>
    <n v="47"/>
    <n v="13300"/>
    <n v="5"/>
    <n v="1983"/>
    <n v="18"/>
    <n v="7"/>
    <n v="1.35"/>
    <x v="1"/>
  </r>
  <r>
    <s v="Vermont_x000a_(43.62538292400046, -72.51763944499965)"/>
    <x v="25"/>
    <n v="11"/>
    <n v="3.5"/>
    <n v="25"/>
    <n v="9900"/>
    <n v="5"/>
    <n v="1008"/>
    <n v="36"/>
    <n v="9"/>
    <n v="0.68"/>
    <x v="0"/>
  </r>
  <r>
    <s v="Arkansas_x000a_(34.748651751000466, -92.27448794899965)"/>
    <x v="26"/>
    <n v="63"/>
    <n v="5.4"/>
    <n v="39"/>
    <n v="26600"/>
    <n v="3.2"/>
    <n v="2569"/>
    <n v="4"/>
    <n v="9"/>
    <n v="2.37"/>
    <x v="1"/>
  </r>
  <r>
    <s v="Nevada_x000a_(39.49324126500045, -117.07183978499972)"/>
    <x v="27"/>
    <n v="42"/>
    <n v="3.6"/>
    <n v="29"/>
    <n v="32400"/>
    <n v="4.0999999999999996"/>
    <n v="2133"/>
    <n v="13"/>
    <n v="44"/>
    <n v="0.49"/>
    <x v="0"/>
  </r>
  <r>
    <s v="Kentucky_x000a_(37.645973909000475, -84.77496612599964)"/>
    <x v="28"/>
    <n v="91"/>
    <n v="4.9000000000000004"/>
    <n v="37"/>
    <n v="48900"/>
    <n v="4.0999999999999996"/>
    <n v="3254"/>
    <n v="2"/>
    <n v="39"/>
    <n v="1.24"/>
    <x v="0"/>
  </r>
  <r>
    <s v="Maryland_x000a_(39.2905806980005, -76.60925970899967)"/>
    <x v="29"/>
    <n v="72"/>
    <n v="2.6"/>
    <n v="12"/>
    <n v="51900"/>
    <n v="3.1"/>
    <n v="685"/>
    <n v="47"/>
    <n v="48"/>
    <n v="1.08"/>
    <x v="0"/>
  </r>
  <r>
    <s v="Alabama_x000a_(32.84057327200048, -86.63185803899967)"/>
    <x v="30"/>
    <n v="84"/>
    <n v="4.3"/>
    <n v="34"/>
    <n v="41200"/>
    <n v="3.3"/>
    <n v="1803"/>
    <n v="26"/>
    <n v="24"/>
    <n v="0.94"/>
    <x v="1"/>
  </r>
  <r>
    <s v="Connecticut_x000a_(41.56266394200048, -72.64983753699966)"/>
    <x v="31"/>
    <n v="36"/>
    <n v="2.1"/>
    <n v="3"/>
    <n v="43800"/>
    <n v="3.9"/>
    <n v="1735"/>
    <n v="30"/>
    <n v="24"/>
    <n v="1.07"/>
    <x v="1"/>
  </r>
  <r>
    <s v="Oregon_x000a_(44.567446178000466, -120.15502977999972)"/>
    <x v="32"/>
    <n v="43"/>
    <n v="2.6"/>
    <n v="12"/>
    <n v="42900"/>
    <n v="3.9"/>
    <n v="363"/>
    <n v="50"/>
    <n v="75"/>
    <n v="0.31"/>
    <x v="0"/>
  </r>
  <r>
    <s v="Colorado_x000a_(38.84384047000049, -106.13360888799969)"/>
    <x v="33"/>
    <n v="82"/>
    <n v="3.5"/>
    <n v="25"/>
    <m/>
    <m/>
    <n v="1649"/>
    <n v="31"/>
    <n v="28"/>
    <n v="1.22"/>
    <x v="1"/>
  </r>
  <r>
    <s v="Ohio_x000a_(40.06021029700048, -82.40425685299965)"/>
    <x v="34"/>
    <n v="161"/>
    <n v="3.1"/>
    <n v="18"/>
    <n v="113600"/>
    <n v="3.2"/>
    <n v="2156"/>
    <n v="11"/>
    <n v="53"/>
    <n v="1.1200000000000001"/>
    <x v="1"/>
  </r>
  <r>
    <s v="Wyoming_x000a_(43.23554147100049, -108.10982744299969)"/>
    <x v="35"/>
    <n v="35"/>
    <n v="12.2"/>
    <n v="49"/>
    <n v="6500"/>
    <n v="3.5"/>
    <n v="1777"/>
    <n v="28"/>
    <n v="9"/>
    <n v="1.01"/>
    <x v="0"/>
  </r>
  <r>
    <s v="Minnesota_x000a_(46.35564867700049, -94.79419697699967)"/>
    <x v="36"/>
    <n v="70"/>
    <n v="2.6"/>
    <n v="12"/>
    <n v="67500"/>
    <n v="3.8"/>
    <n v="768"/>
    <n v="44"/>
    <n v="58"/>
    <n v="0.56999999999999995"/>
    <x v="0"/>
  </r>
  <r>
    <s v="Kansas_x000a_(38.34774033400049, -98.20077655499966)"/>
    <x v="37"/>
    <n v="76"/>
    <n v="5.7"/>
    <n v="41"/>
    <n v="33400"/>
    <n v="3.6"/>
    <n v="1971"/>
    <n v="19"/>
    <n v="16"/>
    <n v="1.1000000000000001"/>
    <x v="1"/>
  </r>
  <r>
    <s v="Idaho_x000a_(43.682630058000484, -114.3637261449997)"/>
    <x v="38"/>
    <n v="19"/>
    <n v="2.7"/>
    <n v="15"/>
    <m/>
    <m/>
    <n v="1449"/>
    <n v="33"/>
    <n v="9"/>
    <n v="1.08"/>
    <x v="1"/>
  </r>
  <r>
    <s v="Washington_x000a_(47.522287905000496, -120.47002746299972)"/>
    <x v="39"/>
    <n v="67"/>
    <n v="2.2000000000000002"/>
    <n v="4"/>
    <n v="89300"/>
    <n v="4.8"/>
    <n v="791"/>
    <n v="42"/>
    <n v="111"/>
    <n v="0.5"/>
    <x v="0"/>
  </r>
  <r>
    <s v="Wisconsin_x000a_(44.3931903350005, -89.81636715299965)"/>
    <x v="40"/>
    <n v="114"/>
    <n v="4"/>
    <n v="32"/>
    <n v="72900"/>
    <n v="4"/>
    <n v="2207"/>
    <n v="9"/>
    <n v="36"/>
    <n v="1.04"/>
    <x v="1"/>
  </r>
  <r>
    <s v="Mississippi_x000a_(32.74551123200047, -89.53802764499966)"/>
    <x v="41"/>
    <n v="63"/>
    <n v="5.5"/>
    <n v="40"/>
    <m/>
    <m/>
    <n v="1515"/>
    <n v="32"/>
    <n v="14"/>
    <n v="1.1200000000000001"/>
    <x v="1"/>
  </r>
  <r>
    <s v="Louisiana_x000a_(31.312662564000448, -92.44567554599968)"/>
    <x v="42"/>
    <n v="116"/>
    <n v="6.4"/>
    <n v="43"/>
    <n v="30600"/>
    <n v="2.2999999999999998"/>
    <n v="1765"/>
    <n v="29"/>
    <n v="16"/>
    <n v="2.06"/>
    <x v="1"/>
  </r>
  <r>
    <s v="Georgia_x000a_(32.83968004200045, -83.62757601199968)"/>
    <x v="43"/>
    <n v="101"/>
    <n v="2.5"/>
    <n v="10"/>
    <n v="74800"/>
    <n v="2.8"/>
    <n v="2061"/>
    <n v="15"/>
    <n v="49"/>
    <n v="1.38"/>
    <x v="1"/>
  </r>
  <r>
    <s v="Rhode Island_x000a_(41.70828281900049, -71.52246918099962)"/>
    <x v="44"/>
    <n v="8"/>
    <n v="1.7"/>
    <n v="2"/>
    <m/>
    <m/>
    <n v="2023"/>
    <n v="16"/>
    <n v="7"/>
    <n v="1.03"/>
    <x v="1"/>
  </r>
  <r>
    <s v="Alaska_x000a_(64.84507923900048, -147.72205669099972)"/>
    <x v="45"/>
    <n v="31"/>
    <n v="8.9"/>
    <n v="48"/>
    <n v="9700"/>
    <n v="4.5999999999999996"/>
    <n v="889"/>
    <n v="41"/>
    <n v="11"/>
    <n v="0.57999999999999996"/>
    <x v="0"/>
  </r>
  <r>
    <s v="New Jersey_x000a_(40.1305700530005, -74.27368565099965)"/>
    <x v="46"/>
    <n v="92"/>
    <n v="2.4"/>
    <n v="8"/>
    <n v="80900"/>
    <n v="3.1"/>
    <n v="2151"/>
    <n v="12"/>
    <n v="67"/>
    <n v="1.23"/>
    <x v="1"/>
  </r>
  <r>
    <s v="North Dakota_x000a_(47.47531738700047, -100.11842599699969)"/>
    <x v="47"/>
    <n v="65"/>
    <n v="17.7"/>
    <n v="50"/>
    <m/>
    <m/>
    <n v="3045"/>
    <n v="3"/>
    <n v="8"/>
    <n v="1.1100000000000001"/>
    <x v="1"/>
  </r>
  <r>
    <s v="Texas_x000a_(31.827243635000457, -99.4267664729997)"/>
    <x v="48"/>
    <n v="536"/>
    <n v="4.8"/>
    <n v="35"/>
    <n v="203200"/>
    <n v="2.7"/>
    <n v="2187"/>
    <n v="10"/>
    <n v="98"/>
    <n v="1.36"/>
    <x v="1"/>
  </r>
  <r>
    <s v="California_x000a_(37.638640488000476, -120.99999889499969)"/>
    <x v="49"/>
    <n v="375"/>
    <n v="2.2999999999999998"/>
    <n v="6"/>
    <n v="345400"/>
    <n v="3.5"/>
    <n v="6422"/>
    <n v="1"/>
    <n v="216"/>
    <n v="1.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828C65-7455-402B-95BB-8081F6DAD28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23:F129" firstHeaderRow="0" firstDataRow="1" firstDataCol="3"/>
  <pivotFields count="14">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0">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s>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35">
        <item x="2"/>
        <item x="32"/>
        <item x="26"/>
        <item x="14"/>
        <item x="10"/>
        <item x="17"/>
        <item x="5"/>
        <item x="24"/>
        <item x="11"/>
        <item x="18"/>
        <item x="7"/>
        <item x="19"/>
        <item x="12"/>
        <item x="8"/>
        <item x="0"/>
        <item x="22"/>
        <item x="3"/>
        <item x="29"/>
        <item x="13"/>
        <item x="25"/>
        <item x="15"/>
        <item x="23"/>
        <item x="6"/>
        <item x="21"/>
        <item x="30"/>
        <item x="28"/>
        <item x="4"/>
        <item x="31"/>
        <item x="9"/>
        <item x="16"/>
        <item x="1"/>
        <item x="20"/>
        <item x="33"/>
        <item x="27"/>
        <item x="3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22">
        <item x="20"/>
        <item x="15"/>
        <item x="11"/>
        <item x="7"/>
        <item x="14"/>
        <item x="0"/>
        <item x="2"/>
        <item x="5"/>
        <item x="12"/>
        <item x="16"/>
        <item x="3"/>
        <item x="4"/>
        <item x="8"/>
        <item x="6"/>
        <item x="13"/>
        <item x="1"/>
        <item x="9"/>
        <item x="21"/>
        <item x="19"/>
        <item x="18"/>
        <item x="17"/>
        <item x="10"/>
      </items>
      <extLst>
        <ext xmlns:x14="http://schemas.microsoft.com/office/spreadsheetml/2009/9/main" uri="{2946ED86-A175-432a-8AC1-64E0C546D7DE}">
          <x14:pivotField fillDownLabels="1"/>
        </ext>
      </extLst>
    </pivotField>
    <pivotField dataField="1" compact="0" outline="0" showAll="0" defaultSubtotal="0">
      <items count="50">
        <item x="32"/>
        <item x="0"/>
        <item x="14"/>
        <item x="29"/>
        <item x="12"/>
        <item x="3"/>
        <item x="36"/>
        <item x="9"/>
        <item x="39"/>
        <item x="45"/>
        <item x="10"/>
        <item x="8"/>
        <item x="16"/>
        <item x="18"/>
        <item x="25"/>
        <item x="22"/>
        <item x="15"/>
        <item x="38"/>
        <item x="41"/>
        <item x="33"/>
        <item x="31"/>
        <item x="42"/>
        <item x="35"/>
        <item x="1"/>
        <item x="30"/>
        <item x="11"/>
        <item x="4"/>
        <item x="5"/>
        <item x="19"/>
        <item x="2"/>
        <item x="13"/>
        <item x="37"/>
        <item x="24"/>
        <item x="21"/>
        <item x="44"/>
        <item x="43"/>
        <item x="23"/>
        <item x="27"/>
        <item x="46"/>
        <item x="34"/>
        <item x="48"/>
        <item x="40"/>
        <item x="17"/>
        <item x="20"/>
        <item x="7"/>
        <item x="6"/>
        <item x="26"/>
        <item x="47"/>
        <item x="28"/>
        <item x="49"/>
      </items>
      <extLst>
        <ext xmlns:x14="http://schemas.microsoft.com/office/spreadsheetml/2009/9/main" uri="{2946ED86-A175-432a-8AC1-64E0C546D7DE}">
          <x14:pivotField fillDownLabels="1"/>
        </ext>
      </extLst>
    </pivotField>
    <pivotField compact="0" outline="0" showAll="0" defaultSubtotal="0">
      <items count="50">
        <item x="49"/>
        <item x="28"/>
        <item x="47"/>
        <item x="26"/>
        <item x="6"/>
        <item h="1" x="7"/>
        <item h="1" x="20"/>
        <item h="1" x="17"/>
        <item h="1" x="40"/>
        <item h="1" x="48"/>
        <item h="1" x="34"/>
        <item h="1" x="46"/>
        <item h="1" x="27"/>
        <item h="1" x="23"/>
        <item h="1" x="43"/>
        <item h="1" x="44"/>
        <item h="1" x="21"/>
        <item h="1" x="24"/>
        <item h="1" x="37"/>
        <item h="1" x="13"/>
        <item h="1" x="2"/>
        <item h="1" x="19"/>
        <item h="1" x="5"/>
        <item h="1" x="4"/>
        <item h="1" x="11"/>
        <item h="1" x="30"/>
        <item h="1" x="1"/>
        <item h="1" x="35"/>
        <item h="1" x="42"/>
        <item h="1" x="31"/>
        <item h="1" x="33"/>
        <item h="1" x="41"/>
        <item h="1" x="38"/>
        <item h="1" x="15"/>
        <item h="1" x="22"/>
        <item h="1" x="25"/>
        <item h="1" x="18"/>
        <item h="1" x="16"/>
        <item h="1" x="8"/>
        <item h="1" x="10"/>
        <item h="1" x="45"/>
        <item h="1" x="39"/>
        <item h="1" x="9"/>
        <item h="1" x="36"/>
        <item h="1" x="3"/>
        <item h="1" x="12"/>
        <item h="1" x="29"/>
        <item h="1" x="14"/>
        <item h="1" x="0"/>
        <item h="1" x="3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4">
        <item x="31"/>
        <item x="13"/>
        <item x="26"/>
        <item x="37"/>
        <item x="35"/>
        <item x="41"/>
        <item x="15"/>
        <item x="24"/>
        <item x="8"/>
        <item x="22"/>
        <item x="21"/>
        <item x="3"/>
        <item x="29"/>
        <item x="9"/>
        <item x="34"/>
        <item x="40"/>
        <item x="14"/>
        <item x="30"/>
        <item x="28"/>
        <item x="36"/>
        <item x="0"/>
        <item x="33"/>
        <item x="12"/>
        <item x="16"/>
        <item x="32"/>
        <item x="2"/>
        <item x="27"/>
        <item x="18"/>
        <item x="10"/>
        <item x="6"/>
        <item x="4"/>
        <item x="23"/>
        <item x="42"/>
        <item x="5"/>
        <item x="39"/>
        <item x="1"/>
        <item x="7"/>
        <item x="43"/>
        <item x="20"/>
        <item x="17"/>
        <item x="38"/>
        <item x="25"/>
        <item x="11"/>
        <item x="19"/>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s>
  <rowFields count="3">
    <field x="1"/>
    <field x="2"/>
    <field x="13"/>
  </rowFields>
  <rowItems count="6">
    <i>
      <x v="3"/>
      <x v="2"/>
      <x/>
    </i>
    <i>
      <x v="4"/>
      <x v="3"/>
      <x v="1"/>
    </i>
    <i>
      <x v="16"/>
      <x v="2"/>
      <x v="1"/>
    </i>
    <i>
      <x v="26"/>
      <x/>
      <x/>
    </i>
    <i>
      <x v="33"/>
      <x/>
      <x/>
    </i>
    <i t="grand">
      <x/>
    </i>
  </rowItems>
  <colFields count="1">
    <field x="-2"/>
  </colFields>
  <colItems count="3">
    <i>
      <x/>
    </i>
    <i i="1">
      <x v="1"/>
    </i>
    <i i="2">
      <x v="2"/>
    </i>
  </colItems>
  <dataFields count="3">
    <dataField name="Sum of Number of Fatalities, 2012" fld="3" baseField="0" baseItem="0"/>
    <dataField name="Sum of Number of Injuries/Illnesses 2012" fld="6" baseField="0" baseItem="0" numFmtId="43"/>
    <dataField name="Sum of Penalties FY 2013 (Average $)" fld="8" baseField="0" baseItem="0" numFmtId="44"/>
  </dataFields>
  <formats count="6">
    <format dxfId="4">
      <pivotArea outline="0" fieldPosition="0">
        <references count="1">
          <reference field="4294967294" count="1" selected="0">
            <x v="1"/>
          </reference>
        </references>
      </pivotArea>
    </format>
    <format dxfId="5">
      <pivotArea outline="0" fieldPosition="0">
        <references count="1">
          <reference field="4294967294" count="1" selected="0">
            <x v="2"/>
          </reference>
        </references>
      </pivotArea>
    </format>
    <format dxfId="6">
      <pivotArea field="1" type="button" dataOnly="0" labelOnly="1" outline="0" axis="axisRow" fieldPosition="0"/>
    </format>
    <format dxfId="7">
      <pivotArea field="2" type="button" dataOnly="0" labelOnly="1" outline="0" axis="axisRow" fieldPosition="1"/>
    </format>
    <format dxfId="8">
      <pivotArea field="13" type="button" dataOnly="0" labelOnly="1" outline="0" axis="axisRow" fieldPosition="2"/>
    </format>
    <format dxfId="9">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B27FF8-A9D2-41DA-87F9-E5DB7D7D703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B10" firstHeaderRow="1" firstDataRow="1" firstDataCol="1"/>
  <pivotFields count="12">
    <pivotField showAll="0"/>
    <pivotField showAll="0"/>
    <pivotField showAll="0"/>
    <pivotField dataField="1" showAll="0"/>
    <pivotField showAll="0"/>
    <pivotField showAll="0"/>
    <pivotField showAll="0"/>
    <pivotField showAll="0"/>
    <pivotField showAll="0"/>
    <pivotField showAll="0"/>
    <pivotField showAll="0"/>
    <pivotField axis="axisRow" multipleItemSelectionAllowed="1" showAll="0">
      <items count="3">
        <item x="1"/>
        <item x="0"/>
        <item t="default"/>
      </items>
    </pivotField>
  </pivotFields>
  <rowFields count="1">
    <field x="11"/>
  </rowFields>
  <rowItems count="3">
    <i>
      <x/>
    </i>
    <i>
      <x v="1"/>
    </i>
    <i t="grand">
      <x/>
    </i>
  </rowItems>
  <colItems count="1">
    <i/>
  </colItems>
  <dataFields count="1">
    <dataField name="Sum of Rate of Fatalities, 2012" fld="3" baseField="0"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1" count="1" selected="0">
            <x v="0"/>
          </reference>
        </references>
      </pivotArea>
    </chartFormat>
    <chartFormat chart="5" format="2">
      <pivotArea type="data" outline="0" fieldPosition="0">
        <references count="2">
          <reference field="4294967294" count="1" selected="0">
            <x v="0"/>
          </reference>
          <reference field="1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1" count="1" selected="0">
            <x v="0"/>
          </reference>
        </references>
      </pivotArea>
    </chartFormat>
    <chartFormat chart="7"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F1D4F5-EA1C-4A97-830B-45F82107EF8F}" name="PivotTable8"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65:C116" firstHeaderRow="0" firstDataRow="1" firstDataCol="1"/>
  <pivotFields count="12">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50">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multipleItemSelectionAllowed="1" showAll="0" defaultSubtotal="0">
      <items count="2">
        <item x="1"/>
        <item x="0"/>
      </items>
      <extLst>
        <ext xmlns:x14="http://schemas.microsoft.com/office/spreadsheetml/2009/9/main" uri="{2946ED86-A175-432a-8AC1-64E0C546D7DE}">
          <x14:pivotField fillDownLabels="1"/>
        </ext>
      </extLst>
    </pivotField>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Average of Years to Inspect Each Workplace Once" fld="10" subtotal="average" baseField="1" baseItem="11"/>
    <dataField name="Sum of Rate of Fatalities, 2012" fld="3" baseField="0" baseItem="0"/>
  </dataFields>
  <formats count="4">
    <format dxfId="3">
      <pivotArea field="1" type="button" dataOnly="0" labelOnly="1" outline="0" axis="axisRow" fieldPosition="0"/>
    </format>
    <format dxfId="2">
      <pivotArea dataOnly="0" labelOnly="1" outline="0" fieldPosition="0">
        <references count="1">
          <reference field="4294967294" count="2">
            <x v="0"/>
            <x v="1"/>
          </reference>
        </references>
      </pivotArea>
    </format>
    <format dxfId="1">
      <pivotArea field="1" type="button" dataOnly="0" labelOnly="1" outline="0" axis="axisRow"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60DBD7-49CC-46CD-A376-E241045541B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2:B54" firstHeaderRow="1" firstDataRow="1" firstDataCol="1" rowPageCount="1" colPageCount="1"/>
  <pivotFields count="12">
    <pivotField showAll="0"/>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 showAll="0"/>
    <pivotField showAll="0"/>
    <pivotField showAll="0"/>
    <pivotField dataField="1" showAll="0"/>
    <pivotField showAll="0"/>
    <pivotField showAll="0"/>
    <pivotField showAll="0"/>
    <pivotField showAll="0"/>
    <pivotField showAll="0"/>
    <pivotField axis="axisPage" multipleItemSelectionAllowed="1" showAll="0">
      <items count="3">
        <item h="1" x="1"/>
        <item x="0"/>
        <item t="default"/>
      </items>
    </pivotField>
  </pivotFields>
  <rowFields count="1">
    <field x="1"/>
  </rowFields>
  <rowItems count="22">
    <i>
      <x v="1"/>
    </i>
    <i>
      <x v="2"/>
    </i>
    <i>
      <x v="4"/>
    </i>
    <i>
      <x v="10"/>
    </i>
    <i>
      <x v="13"/>
    </i>
    <i>
      <x v="14"/>
    </i>
    <i>
      <x v="16"/>
    </i>
    <i>
      <x v="19"/>
    </i>
    <i>
      <x v="21"/>
    </i>
    <i>
      <x v="22"/>
    </i>
    <i>
      <x v="27"/>
    </i>
    <i>
      <x v="30"/>
    </i>
    <i>
      <x v="32"/>
    </i>
    <i>
      <x v="36"/>
    </i>
    <i>
      <x v="39"/>
    </i>
    <i>
      <x v="41"/>
    </i>
    <i>
      <x v="43"/>
    </i>
    <i>
      <x v="44"/>
    </i>
    <i>
      <x v="45"/>
    </i>
    <i>
      <x v="46"/>
    </i>
    <i>
      <x v="49"/>
    </i>
    <i t="grand">
      <x/>
    </i>
  </rowItems>
  <colItems count="1">
    <i/>
  </colItems>
  <pageFields count="1">
    <pageField fld="11" hier="-1"/>
  </pageFields>
  <dataFields count="1">
    <dataField name="Sum of Number of Injuries/Illnesses 2012" fld="5" baseField="0" baseItem="0"/>
  </dataFields>
  <chartFormats count="4">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 count="1" selected="0">
            <x v="1"/>
          </reference>
        </references>
      </pivotArea>
    </chartFormat>
    <chartFormat chart="27" format="13" series="1">
      <pivotArea type="data" outline="0" fieldPosition="0">
        <references count="1">
          <reference field="4294967294" count="1" selected="0">
            <x v="0"/>
          </reference>
        </references>
      </pivotArea>
    </chartFormat>
    <chartFormat chart="27" format="1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1336E3-44C0-4E18-8D11-593528B2C02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7:G10" firstHeaderRow="1" firstDataRow="1" firstDataCol="1"/>
  <pivotFields count="12">
    <pivotField showAll="0"/>
    <pivotField showAll="0"/>
    <pivotField dataField="1" showAll="0"/>
    <pivotField showAll="0"/>
    <pivotField showAll="0"/>
    <pivotField showAll="0"/>
    <pivotField showAll="0"/>
    <pivotField showAll="0"/>
    <pivotField showAll="0"/>
    <pivotField showAll="0"/>
    <pivotField showAll="0"/>
    <pivotField axis="axisRow" multipleItemSelectionAllowed="1" showAll="0">
      <items count="3">
        <item x="1"/>
        <item x="0"/>
        <item t="default"/>
      </items>
    </pivotField>
  </pivotFields>
  <rowFields count="1">
    <field x="11"/>
  </rowFields>
  <rowItems count="3">
    <i>
      <x/>
    </i>
    <i>
      <x v="1"/>
    </i>
    <i t="grand">
      <x/>
    </i>
  </rowItems>
  <colItems count="1">
    <i/>
  </colItems>
  <dataFields count="1">
    <dataField name="Sum of Number of Fatalities, 2012" fld="2" baseField="0" baseItem="1" numFmtId="43"/>
  </dataFields>
  <formats count="2">
    <format dxfId="37">
      <pivotArea outline="0" collapsedLevelsAreSubtotals="1" fieldPosition="0">
        <references count="1">
          <reference field="4294967294" count="1" selected="0">
            <x v="0"/>
          </reference>
        </references>
      </pivotArea>
    </format>
    <format dxfId="3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Reference" xr10:uid="{7C5728A1-F6F4-4B59-9683-247099A6AC53}" sourceName="State Reference">
  <pivotTables>
    <pivotTable tabId="5" name="PivotTable1"/>
  </pivotTables>
  <data>
    <tabular pivotCacheId="1696144141">
      <items count="50">
        <i x="26" s="1"/>
        <i x="49" s="1"/>
        <i x="28" s="1"/>
        <i x="6" s="1"/>
        <i x="47" s="1"/>
        <i x="30" s="1" nd="1"/>
        <i x="45" s="1" nd="1"/>
        <i x="10" s="1" nd="1"/>
        <i x="33" s="1" nd="1"/>
        <i x="31" s="1" nd="1"/>
        <i x="7" s="1" nd="1"/>
        <i x="11" s="1" nd="1"/>
        <i x="43" s="1" nd="1"/>
        <i x="8" s="1" nd="1"/>
        <i x="38" s="1" nd="1"/>
        <i x="5" s="1" nd="1"/>
        <i x="15" s="1" nd="1"/>
        <i x="9" s="1" nd="1"/>
        <i x="37" s="1" nd="1"/>
        <i x="42" s="1" nd="1"/>
        <i x="23" s="1" nd="1"/>
        <i x="29" s="1" nd="1"/>
        <i x="2" s="1" nd="1"/>
        <i x="14" s="1" nd="1"/>
        <i x="36" s="1" nd="1"/>
        <i x="41" s="1" nd="1"/>
        <i x="13" s="1" nd="1"/>
        <i x="24" s="1" nd="1"/>
        <i x="27" s="1" nd="1"/>
        <i x="17" s="1" nd="1"/>
        <i x="46" s="1" nd="1"/>
        <i x="18" s="1" nd="1"/>
        <i x="21" s="1" nd="1"/>
        <i x="16" s="1" nd="1"/>
        <i x="34" s="1" nd="1"/>
        <i x="4" s="1" nd="1"/>
        <i x="32" s="1" nd="1"/>
        <i x="19" s="1" nd="1"/>
        <i x="44" s="1" nd="1"/>
        <i x="0" s="1" nd="1"/>
        <i x="20" s="1" nd="1"/>
        <i x="3" s="1" nd="1"/>
        <i x="48" s="1" nd="1"/>
        <i x="22" s="1" nd="1"/>
        <i x="25" s="1" nd="1"/>
        <i x="12" s="1" nd="1"/>
        <i x="39" s="1" nd="1"/>
        <i x="1" s="1" nd="1"/>
        <i x="40" s="1" nd="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alties_FY_2013__Average" xr10:uid="{C5950B4E-CA7B-4A77-ADF5-FE6EAB476A9B}" sourceName="Penalties FY 2013 (Average $)">
  <pivotTables>
    <pivotTable tabId="5" name="PivotTable1"/>
  </pivotTables>
  <data>
    <tabular pivotCacheId="1696144141">
      <items count="50">
        <i x="6" s="1"/>
        <i x="26" s="1"/>
        <i x="47" s="1"/>
        <i x="28" s="1"/>
        <i x="49" s="1"/>
        <i x="32" s="1" nd="1"/>
        <i x="0" s="1" nd="1"/>
        <i x="14" s="1" nd="1"/>
        <i x="29" s="1" nd="1"/>
        <i x="12" s="1" nd="1"/>
        <i x="3" s="1" nd="1"/>
        <i x="36" s="1" nd="1"/>
        <i x="9" s="1" nd="1"/>
        <i x="39" s="1" nd="1"/>
        <i x="45" s="1" nd="1"/>
        <i x="10" s="1" nd="1"/>
        <i x="8" s="1" nd="1"/>
        <i x="16" s="1" nd="1"/>
        <i x="18" s="1" nd="1"/>
        <i x="25" s="1" nd="1"/>
        <i x="22" s="1" nd="1"/>
        <i x="15" s="1" nd="1"/>
        <i x="38" s="1" nd="1"/>
        <i x="41" s="1" nd="1"/>
        <i x="33" s="1" nd="1"/>
        <i x="31" s="1" nd="1"/>
        <i x="42" s="1" nd="1"/>
        <i x="35" s="1" nd="1"/>
        <i x="1" s="1" nd="1"/>
        <i x="30" s="1" nd="1"/>
        <i x="11" s="1" nd="1"/>
        <i x="4" s="1" nd="1"/>
        <i x="5" s="1" nd="1"/>
        <i x="19" s="1" nd="1"/>
        <i x="2" s="1" nd="1"/>
        <i x="13" s="1" nd="1"/>
        <i x="37" s="1" nd="1"/>
        <i x="24" s="1" nd="1"/>
        <i x="21" s="1" nd="1"/>
        <i x="44" s="1" nd="1"/>
        <i x="43" s="1" nd="1"/>
        <i x="23" s="1" nd="1"/>
        <i x="27" s="1" nd="1"/>
        <i x="46" s="1" nd="1"/>
        <i x="34" s="1" nd="1"/>
        <i x="48" s="1" nd="1"/>
        <i x="40" s="1" nd="1"/>
        <i x="17" s="1" nd="1"/>
        <i x="20"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alties_FY_2013__Rank" xr10:uid="{337651A8-54AD-4D51-9E04-979B59726D83}" sourceName="Penalties FY 2013 (Rank)">
  <pivotTables>
    <pivotTable tabId="5" name="PivotTable1"/>
  </pivotTables>
  <data>
    <tabular pivotCacheId="1696144141">
      <items count="50">
        <i x="49" s="1"/>
        <i x="28" s="1"/>
        <i x="47" s="1"/>
        <i x="26" s="1"/>
        <i x="6" s="1"/>
        <i x="7"/>
        <i x="20"/>
        <i x="17"/>
        <i x="40"/>
        <i x="48"/>
        <i x="34"/>
        <i x="46"/>
        <i x="27"/>
        <i x="23"/>
        <i x="43"/>
        <i x="44"/>
        <i x="21"/>
        <i x="24"/>
        <i x="37"/>
        <i x="13"/>
        <i x="2"/>
        <i x="19"/>
        <i x="5"/>
        <i x="4"/>
        <i x="11"/>
        <i x="30"/>
        <i x="1"/>
        <i x="35"/>
        <i x="42"/>
        <i x="31"/>
        <i x="33"/>
        <i x="41"/>
        <i x="38"/>
        <i x="15"/>
        <i x="22"/>
        <i x="25"/>
        <i x="18"/>
        <i x="16"/>
        <i x="8"/>
        <i x="10"/>
        <i x="45"/>
        <i x="39"/>
        <i x="9"/>
        <i x="36"/>
        <i x="3"/>
        <i x="12"/>
        <i x="29"/>
        <i x="14"/>
        <i x="0"/>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Reference" xr10:uid="{B0D5271F-9EEE-49C3-977F-D50C73163764}" cache="Slicer_State_Reference" caption="State Reference" rowHeight="247650"/>
  <slicer name="Penalties FY 2013 (Average $)" xr10:uid="{82190088-3B26-4DE8-9AFF-8D71C019FBFF}" cache="Slicer_Penalties_FY_2013__Average" caption="Penalties FY 2013 (Average $)" rowHeight="247650"/>
  <slicer name="Penalties FY 2013 (Rank)" xr10:uid="{8822D7EA-456B-4D74-ACAB-13C95589EA4E}" cache="Slicer_Penalties_FY_2013__Rank" caption="Penalties FY 2013 (Rank)"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9B784F-EE23-45C5-988F-5D8F8B1F2497}" name="Table1" displayName="Table1" ref="A1:L51" totalsRowShown="0">
  <autoFilter ref="A1:L51" xr:uid="{279B784F-EE23-45C5-988F-5D8F8B1F2497}"/>
  <tableColumns count="12">
    <tableColumn id="1" xr3:uid="{FDB4D679-E969-406D-9190-7F2BD4574443}" name="State" dataDxfId="40"/>
    <tableColumn id="12" xr3:uid="{9A2F6C24-0D5C-4B04-B761-BBDC23E8DBF3}" name="State Reference" dataDxfId="39"/>
    <tableColumn id="2" xr3:uid="{49EE2843-CEA0-4676-8F21-523B343ED932}" name="Number of Fatalities, 2012"/>
    <tableColumn id="3" xr3:uid="{6C3D30A1-2914-413D-90EC-6B0D88BF845D}" name="Rate of Fatalities, 2012"/>
    <tableColumn id="4" xr3:uid="{3EC0D59B-7690-4F3D-B64F-27808F428176}" name="State Rank, Fatalities 2012"/>
    <tableColumn id="5" xr3:uid="{91BD2EFC-1179-43BE-9775-A70717C83267}" name="Number of Injuries/Illnesses 2012"/>
    <tableColumn id="6" xr3:uid="{5C2D385E-E8B1-4FEB-9FBB-9D266BE7AA3E}" name="Injuries/Illnesses 2012 Rate"/>
    <tableColumn id="7" xr3:uid="{DB909CB4-2423-4736-A55D-72A809D18260}" name="Penalties FY 2013 (Average $)"/>
    <tableColumn id="8" xr3:uid="{E41D6D84-49F5-45FA-B9C6-AB5F00EC9613}" name="Penalties FY 2013 (Rank)"/>
    <tableColumn id="9" xr3:uid="{5A77D3DF-5CD9-46A1-9B36-D045DAE000C7}" name="Inspectors"/>
    <tableColumn id="10" xr3:uid="{E8D389C4-CC04-4221-A22C-7577A1FC4BA8}" name="Years to Inspect Each Workplace Once"/>
    <tableColumn id="13" xr3:uid="{1C425143-9B0F-4437-AEBE-90FA3DCC5604}" name="State or Federal Program"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BA9626-D3B2-47A0-8E5B-25A2F1D883AE}" name="Table2" displayName="Table2" ref="A1:L52" totalsRowCount="1" headerRowDxfId="35" dataDxfId="34">
  <autoFilter ref="A1:L51" xr:uid="{02BA9626-D3B2-47A0-8E5B-25A2F1D883AE}"/>
  <tableColumns count="12">
    <tableColumn id="2" xr3:uid="{ADB4A55C-C7D2-46C9-B031-F20925CA9C7F}" name="State Reference" dataDxfId="33" totalsRowDxfId="32"/>
    <tableColumn id="3" xr3:uid="{AFAD336C-7E9C-4E3B-90C1-DCC0F6344B7F}" name="Region" dataDxfId="31" totalsRowDxfId="30">
      <calculatedColumnFormula>VLOOKUP(A2,'US Census Bureau Regions'!A:D,3,FALSE)</calculatedColumnFormula>
    </tableColumn>
    <tableColumn id="4" xr3:uid="{63E263C9-81D2-420A-92EE-B51BB34C48E8}" name="Number of Fatalities, 2012" dataDxfId="29" totalsRowDxfId="28"/>
    <tableColumn id="5" xr3:uid="{E6BE88BE-AC9D-4557-AAF2-955094FA1246}" name="Rate of Fatalities, 2012" dataDxfId="27" totalsRowDxfId="26"/>
    <tableColumn id="6" xr3:uid="{373BB6FA-D7B4-4588-AED4-4940063B0FCE}" name="State Rank, Fatalities 2012" dataDxfId="25" totalsRowDxfId="24"/>
    <tableColumn id="7" xr3:uid="{3F6024F8-9E89-4B7E-9CDF-603DD193080A}" name="Number of Injuries/Illnesses 2012" dataDxfId="23" totalsRowDxfId="22"/>
    <tableColumn id="8" xr3:uid="{CFE8DE81-BD78-4F14-9389-A6DBAE9BA132}" name="Injuries/Illnesses 2012 Rate" dataDxfId="21" totalsRowDxfId="20"/>
    <tableColumn id="9" xr3:uid="{BEFAA695-AFC0-4374-A0E5-CC15284FE21E}" name="Penalties FY 2013 (Average $)" dataDxfId="19" totalsRowDxfId="18"/>
    <tableColumn id="10" xr3:uid="{87675506-C6E3-44FE-A6F3-B9184F3292B7}" name="Penalties FY 2013 (Rank)" dataDxfId="17" totalsRowDxfId="16"/>
    <tableColumn id="11" xr3:uid="{8E110389-3DED-424D-8B02-C391FA392669}" name="Inspectors" dataDxfId="15" totalsRowDxfId="14"/>
    <tableColumn id="13" xr3:uid="{31A27A57-42AA-46BD-9054-D8646C1A576B}" name="Years to Inspect Each Workplace Once" dataDxfId="13" totalsRowDxfId="12"/>
    <tableColumn id="14" xr3:uid="{48A4E531-DB4C-4AFF-A573-86735AB632B9}" name="State or Federal Program" dataDxfId="11" totalsRow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3BA0-F9CF-42D8-94CA-A9C50BE47C02}">
  <dimension ref="A1:K55"/>
  <sheetViews>
    <sheetView workbookViewId="0">
      <selection activeCell="B1" sqref="B1:K1048576"/>
    </sheetView>
  </sheetViews>
  <sheetFormatPr defaultRowHeight="14.4" x14ac:dyDescent="0.3"/>
  <cols>
    <col min="1" max="1" width="40.88671875" customWidth="1"/>
    <col min="2" max="2" width="22.33203125" bestFit="1" customWidth="1"/>
    <col min="3" max="3" width="19.33203125" bestFit="1" customWidth="1"/>
    <col min="4" max="4" width="22.33203125" bestFit="1" customWidth="1"/>
    <col min="5" max="5" width="28.109375" bestFit="1" customWidth="1"/>
    <col min="6" max="6" width="23.21875" bestFit="1" customWidth="1"/>
    <col min="7" max="7" width="24.6640625" bestFit="1" customWidth="1"/>
    <col min="8" max="8" width="20.77734375" bestFit="1" customWidth="1"/>
    <col min="9" max="9" width="9.44140625" bestFit="1" customWidth="1"/>
    <col min="10" max="10" width="32.21875" bestFit="1" customWidth="1"/>
    <col min="11" max="11" width="21" bestFit="1" customWidth="1"/>
  </cols>
  <sheetData>
    <row r="1" spans="1:11" ht="48.6" customHeight="1" x14ac:dyDescent="0.3">
      <c r="A1" t="s">
        <v>0</v>
      </c>
      <c r="B1" t="s">
        <v>1</v>
      </c>
      <c r="C1" t="s">
        <v>2</v>
      </c>
      <c r="D1" t="s">
        <v>3</v>
      </c>
      <c r="E1" t="s">
        <v>4</v>
      </c>
      <c r="F1" t="s">
        <v>5</v>
      </c>
      <c r="G1" t="s">
        <v>6</v>
      </c>
      <c r="H1" t="s">
        <v>7</v>
      </c>
      <c r="I1" t="s">
        <v>8</v>
      </c>
      <c r="J1" t="s">
        <v>9</v>
      </c>
      <c r="K1" t="s">
        <v>10</v>
      </c>
    </row>
    <row r="2" spans="1:11" ht="48.6" customHeight="1" x14ac:dyDescent="0.3">
      <c r="A2" s="1" t="s">
        <v>11</v>
      </c>
      <c r="B2">
        <v>63</v>
      </c>
      <c r="C2">
        <v>3.5</v>
      </c>
      <c r="D2">
        <v>25</v>
      </c>
      <c r="E2">
        <v>36200</v>
      </c>
      <c r="F2">
        <v>3</v>
      </c>
      <c r="G2">
        <v>492</v>
      </c>
      <c r="H2">
        <v>49</v>
      </c>
      <c r="I2">
        <v>24</v>
      </c>
      <c r="J2">
        <v>111</v>
      </c>
      <c r="K2" t="s">
        <v>0</v>
      </c>
    </row>
    <row r="3" spans="1:11" ht="48.6" customHeight="1" x14ac:dyDescent="0.3">
      <c r="A3" s="1" t="s">
        <v>12</v>
      </c>
      <c r="B3">
        <v>49</v>
      </c>
      <c r="C3">
        <v>6.9</v>
      </c>
      <c r="D3">
        <v>46</v>
      </c>
      <c r="E3">
        <v>19800</v>
      </c>
      <c r="F3">
        <v>4.0999999999999996</v>
      </c>
      <c r="G3">
        <v>1798</v>
      </c>
      <c r="H3">
        <v>27</v>
      </c>
      <c r="I3">
        <v>7</v>
      </c>
      <c r="J3">
        <v>173</v>
      </c>
      <c r="K3" t="s">
        <v>13</v>
      </c>
    </row>
    <row r="4" spans="1:11" ht="48.6" customHeight="1" x14ac:dyDescent="0.3">
      <c r="A4" s="1" t="s">
        <v>14</v>
      </c>
      <c r="B4">
        <v>44</v>
      </c>
      <c r="C4">
        <v>1.4</v>
      </c>
      <c r="D4">
        <v>1</v>
      </c>
      <c r="E4">
        <v>69700</v>
      </c>
      <c r="F4">
        <v>3.1</v>
      </c>
      <c r="G4">
        <v>1929</v>
      </c>
      <c r="H4">
        <v>21</v>
      </c>
      <c r="I4">
        <v>33</v>
      </c>
      <c r="J4">
        <v>123</v>
      </c>
      <c r="K4" t="s">
        <v>13</v>
      </c>
    </row>
    <row r="5" spans="1:11" ht="48.6" customHeight="1" x14ac:dyDescent="0.3">
      <c r="A5" s="1" t="s">
        <v>15</v>
      </c>
      <c r="B5">
        <v>101</v>
      </c>
      <c r="C5">
        <v>3.8</v>
      </c>
      <c r="D5">
        <v>30</v>
      </c>
      <c r="E5">
        <v>65100</v>
      </c>
      <c r="F5">
        <v>3.5</v>
      </c>
      <c r="G5">
        <v>727</v>
      </c>
      <c r="H5">
        <v>45</v>
      </c>
      <c r="I5">
        <v>30</v>
      </c>
      <c r="J5">
        <v>82</v>
      </c>
      <c r="K5" t="s">
        <v>0</v>
      </c>
    </row>
    <row r="6" spans="1:11" ht="48.6" customHeight="1" x14ac:dyDescent="0.3">
      <c r="A6" s="1" t="s">
        <v>16</v>
      </c>
      <c r="B6">
        <v>97</v>
      </c>
      <c r="C6">
        <v>6.1</v>
      </c>
      <c r="D6">
        <v>42</v>
      </c>
      <c r="E6">
        <v>39000</v>
      </c>
      <c r="F6">
        <v>3.6</v>
      </c>
      <c r="G6">
        <v>1872</v>
      </c>
      <c r="H6">
        <v>24</v>
      </c>
      <c r="I6">
        <v>19</v>
      </c>
      <c r="J6">
        <v>131</v>
      </c>
      <c r="K6" t="s">
        <v>13</v>
      </c>
    </row>
    <row r="7" spans="1:11" ht="48.6" customHeight="1" x14ac:dyDescent="0.3">
      <c r="A7" s="1" t="s">
        <v>17</v>
      </c>
      <c r="B7">
        <v>146</v>
      </c>
      <c r="C7">
        <v>2.5</v>
      </c>
      <c r="D7">
        <v>10</v>
      </c>
      <c r="E7">
        <v>124900</v>
      </c>
      <c r="F7">
        <v>3.2</v>
      </c>
      <c r="G7">
        <v>1876</v>
      </c>
      <c r="H7">
        <v>23</v>
      </c>
      <c r="I7">
        <v>74</v>
      </c>
      <c r="J7">
        <v>137</v>
      </c>
      <c r="K7" t="s">
        <v>13</v>
      </c>
    </row>
    <row r="8" spans="1:11" ht="48.6" customHeight="1" x14ac:dyDescent="0.3">
      <c r="A8" s="1" t="s">
        <v>18</v>
      </c>
      <c r="B8">
        <v>48</v>
      </c>
      <c r="C8">
        <v>5.2</v>
      </c>
      <c r="D8">
        <v>38</v>
      </c>
      <c r="E8">
        <v>24300</v>
      </c>
      <c r="F8">
        <v>3.9</v>
      </c>
      <c r="G8">
        <v>2565</v>
      </c>
      <c r="H8">
        <v>5</v>
      </c>
      <c r="I8">
        <v>9</v>
      </c>
      <c r="J8">
        <v>128</v>
      </c>
      <c r="K8" t="s">
        <v>13</v>
      </c>
    </row>
    <row r="9" spans="1:11" ht="48.6" customHeight="1" x14ac:dyDescent="0.3">
      <c r="A9" s="1" t="s">
        <v>19</v>
      </c>
      <c r="B9">
        <v>14</v>
      </c>
      <c r="C9">
        <v>3.1</v>
      </c>
      <c r="D9">
        <v>18</v>
      </c>
      <c r="E9">
        <v>7900</v>
      </c>
      <c r="F9">
        <v>2.8</v>
      </c>
      <c r="G9">
        <v>2406</v>
      </c>
      <c r="H9">
        <v>6</v>
      </c>
      <c r="I9">
        <v>5</v>
      </c>
      <c r="J9">
        <v>175</v>
      </c>
      <c r="K9" t="s">
        <v>13</v>
      </c>
    </row>
    <row r="10" spans="1:11" ht="48.6" customHeight="1" x14ac:dyDescent="0.3">
      <c r="A10" s="1" t="s">
        <v>20</v>
      </c>
      <c r="B10">
        <v>20</v>
      </c>
      <c r="C10">
        <v>3.4</v>
      </c>
      <c r="D10">
        <v>22</v>
      </c>
      <c r="E10">
        <v>13700</v>
      </c>
      <c r="F10">
        <v>3.8</v>
      </c>
      <c r="G10">
        <v>964</v>
      </c>
      <c r="H10">
        <v>39</v>
      </c>
      <c r="I10">
        <v>20</v>
      </c>
      <c r="J10">
        <v>79</v>
      </c>
      <c r="K10" t="s">
        <v>0</v>
      </c>
    </row>
    <row r="11" spans="1:11" ht="48.6" customHeight="1" x14ac:dyDescent="0.3">
      <c r="A11" s="1" t="s">
        <v>21</v>
      </c>
      <c r="B11">
        <v>97</v>
      </c>
      <c r="C11">
        <v>6.6</v>
      </c>
      <c r="D11">
        <v>44</v>
      </c>
      <c r="E11">
        <v>45600</v>
      </c>
      <c r="F11">
        <v>4.5</v>
      </c>
      <c r="G11">
        <v>790</v>
      </c>
      <c r="H11">
        <v>43</v>
      </c>
      <c r="I11">
        <v>26</v>
      </c>
      <c r="J11">
        <v>98</v>
      </c>
      <c r="K11" t="s">
        <v>0</v>
      </c>
    </row>
    <row r="12" spans="1:11" ht="48.6" customHeight="1" x14ac:dyDescent="0.3">
      <c r="A12" s="1" t="s">
        <v>22</v>
      </c>
      <c r="B12">
        <v>60</v>
      </c>
      <c r="C12">
        <v>2.2999999999999998</v>
      </c>
      <c r="D12">
        <v>6</v>
      </c>
      <c r="E12">
        <v>54400</v>
      </c>
      <c r="F12">
        <v>3.2</v>
      </c>
      <c r="G12">
        <v>891</v>
      </c>
      <c r="H12">
        <v>40</v>
      </c>
      <c r="I12">
        <v>30</v>
      </c>
      <c r="J12">
        <v>126</v>
      </c>
      <c r="K12" t="s">
        <v>0</v>
      </c>
    </row>
    <row r="13" spans="1:11" ht="48.6" customHeight="1" x14ac:dyDescent="0.3">
      <c r="A13" s="1" t="s">
        <v>23</v>
      </c>
      <c r="B13">
        <v>218</v>
      </c>
      <c r="C13">
        <v>2.7</v>
      </c>
      <c r="D13">
        <v>15</v>
      </c>
      <c r="G13">
        <v>1821</v>
      </c>
      <c r="H13">
        <v>25</v>
      </c>
      <c r="I13">
        <v>60</v>
      </c>
      <c r="J13">
        <v>238</v>
      </c>
      <c r="K13" t="s">
        <v>13</v>
      </c>
    </row>
    <row r="14" spans="1:11" ht="48.6" customHeight="1" x14ac:dyDescent="0.3">
      <c r="A14" s="1" t="s">
        <v>24</v>
      </c>
      <c r="B14">
        <v>149</v>
      </c>
      <c r="C14">
        <v>3.8</v>
      </c>
      <c r="D14">
        <v>30</v>
      </c>
      <c r="E14">
        <v>66200</v>
      </c>
      <c r="F14">
        <v>2.7</v>
      </c>
      <c r="G14">
        <v>726</v>
      </c>
      <c r="H14">
        <v>46</v>
      </c>
      <c r="I14">
        <v>48</v>
      </c>
      <c r="J14">
        <v>82</v>
      </c>
      <c r="K14" t="s">
        <v>0</v>
      </c>
    </row>
    <row r="15" spans="1:11" ht="48.6" customHeight="1" x14ac:dyDescent="0.3">
      <c r="A15" s="1" t="s">
        <v>25</v>
      </c>
      <c r="B15">
        <v>88</v>
      </c>
      <c r="C15">
        <v>3.3</v>
      </c>
      <c r="D15">
        <v>21</v>
      </c>
      <c r="E15">
        <v>60300</v>
      </c>
      <c r="F15">
        <v>3.3</v>
      </c>
      <c r="G15">
        <v>1931</v>
      </c>
      <c r="H15">
        <v>20</v>
      </c>
      <c r="I15">
        <v>26</v>
      </c>
      <c r="J15">
        <v>118</v>
      </c>
      <c r="K15" t="s">
        <v>13</v>
      </c>
    </row>
    <row r="16" spans="1:11" ht="48.6" customHeight="1" x14ac:dyDescent="0.3">
      <c r="A16" s="1" t="s">
        <v>26</v>
      </c>
      <c r="B16">
        <v>137</v>
      </c>
      <c r="C16">
        <v>3.4</v>
      </c>
      <c r="D16">
        <v>22</v>
      </c>
      <c r="E16">
        <v>105500</v>
      </c>
      <c r="F16">
        <v>4</v>
      </c>
      <c r="G16">
        <v>542</v>
      </c>
      <c r="H16">
        <v>48</v>
      </c>
      <c r="I16">
        <v>63</v>
      </c>
      <c r="J16">
        <v>45</v>
      </c>
      <c r="K16" t="s">
        <v>0</v>
      </c>
    </row>
    <row r="17" spans="1:11" ht="48.6" customHeight="1" x14ac:dyDescent="0.3">
      <c r="A17" s="1" t="s">
        <v>27</v>
      </c>
      <c r="B17">
        <v>115</v>
      </c>
      <c r="C17">
        <v>4.2</v>
      </c>
      <c r="D17">
        <v>33</v>
      </c>
      <c r="E17">
        <v>77900</v>
      </c>
      <c r="F17">
        <v>3.9</v>
      </c>
      <c r="G17">
        <v>1054</v>
      </c>
      <c r="H17">
        <v>34</v>
      </c>
      <c r="I17">
        <v>39</v>
      </c>
      <c r="J17">
        <v>104</v>
      </c>
      <c r="K17" t="s">
        <v>0</v>
      </c>
    </row>
    <row r="18" spans="1:11" ht="48.6" customHeight="1" x14ac:dyDescent="0.3">
      <c r="A18" s="1" t="s">
        <v>28</v>
      </c>
      <c r="B18">
        <v>146</v>
      </c>
      <c r="C18">
        <v>3.5</v>
      </c>
      <c r="D18">
        <v>25</v>
      </c>
      <c r="E18">
        <v>75900</v>
      </c>
      <c r="F18">
        <v>2.9</v>
      </c>
      <c r="G18">
        <v>996</v>
      </c>
      <c r="H18">
        <v>38</v>
      </c>
      <c r="I18">
        <v>104</v>
      </c>
      <c r="J18">
        <v>60</v>
      </c>
      <c r="K18" t="s">
        <v>0</v>
      </c>
    </row>
    <row r="19" spans="1:11" ht="48.6" customHeight="1" x14ac:dyDescent="0.3">
      <c r="A19" s="1" t="s">
        <v>29</v>
      </c>
      <c r="B19">
        <v>14</v>
      </c>
      <c r="C19">
        <v>2.2000000000000002</v>
      </c>
      <c r="D19">
        <v>4</v>
      </c>
      <c r="G19">
        <v>2243</v>
      </c>
      <c r="H19">
        <v>8</v>
      </c>
      <c r="I19">
        <v>7</v>
      </c>
      <c r="J19">
        <v>119</v>
      </c>
      <c r="K19" t="s">
        <v>13</v>
      </c>
    </row>
    <row r="20" spans="1:11" ht="48.6" customHeight="1" x14ac:dyDescent="0.3">
      <c r="A20" s="1" t="s">
        <v>30</v>
      </c>
      <c r="B20">
        <v>39</v>
      </c>
      <c r="C20">
        <v>4.8</v>
      </c>
      <c r="D20">
        <v>35</v>
      </c>
      <c r="E20">
        <v>19900</v>
      </c>
      <c r="F20">
        <v>3.9</v>
      </c>
      <c r="G20">
        <v>998</v>
      </c>
      <c r="H20">
        <v>37</v>
      </c>
      <c r="I20">
        <v>9</v>
      </c>
      <c r="J20">
        <v>191</v>
      </c>
      <c r="K20" t="s">
        <v>0</v>
      </c>
    </row>
    <row r="21" spans="1:11" ht="48.6" customHeight="1" x14ac:dyDescent="0.3">
      <c r="A21" s="1" t="s">
        <v>31</v>
      </c>
      <c r="B21">
        <v>194</v>
      </c>
      <c r="C21">
        <v>3.4</v>
      </c>
      <c r="D21">
        <v>22</v>
      </c>
      <c r="E21">
        <v>155300</v>
      </c>
      <c r="F21">
        <v>3.9</v>
      </c>
      <c r="G21">
        <v>1916</v>
      </c>
      <c r="H21">
        <v>22</v>
      </c>
      <c r="I21">
        <v>57</v>
      </c>
      <c r="J21">
        <v>125</v>
      </c>
      <c r="K21" t="s">
        <v>13</v>
      </c>
    </row>
    <row r="22" spans="1:11" ht="48.6" customHeight="1" x14ac:dyDescent="0.3">
      <c r="A22" s="1" t="s">
        <v>32</v>
      </c>
      <c r="B22">
        <v>31</v>
      </c>
      <c r="C22">
        <v>6.7</v>
      </c>
      <c r="D22">
        <v>45</v>
      </c>
      <c r="G22">
        <v>2346</v>
      </c>
      <c r="H22">
        <v>7</v>
      </c>
      <c r="J22">
        <v>521</v>
      </c>
      <c r="K22" t="s">
        <v>13</v>
      </c>
    </row>
    <row r="23" spans="1:11" ht="48.6" customHeight="1" x14ac:dyDescent="0.3">
      <c r="A23" s="1" t="s">
        <v>33</v>
      </c>
      <c r="B23">
        <v>202</v>
      </c>
      <c r="C23">
        <v>2.4</v>
      </c>
      <c r="D23">
        <v>8</v>
      </c>
      <c r="E23">
        <v>146300</v>
      </c>
      <c r="F23">
        <v>2.5</v>
      </c>
      <c r="G23">
        <v>2016</v>
      </c>
      <c r="H23">
        <v>17</v>
      </c>
      <c r="I23">
        <v>105</v>
      </c>
      <c r="J23">
        <v>184</v>
      </c>
      <c r="K23" t="s">
        <v>13</v>
      </c>
    </row>
    <row r="24" spans="1:11" ht="48.6" customHeight="1" x14ac:dyDescent="0.3">
      <c r="A24" s="1" t="s">
        <v>34</v>
      </c>
      <c r="B24">
        <v>39</v>
      </c>
      <c r="C24">
        <v>3</v>
      </c>
      <c r="D24">
        <v>17</v>
      </c>
      <c r="E24">
        <v>27700</v>
      </c>
      <c r="F24">
        <v>3.4</v>
      </c>
      <c r="G24">
        <v>1053</v>
      </c>
      <c r="H24">
        <v>35</v>
      </c>
      <c r="I24">
        <v>22</v>
      </c>
      <c r="J24">
        <v>81</v>
      </c>
      <c r="K24" t="s">
        <v>0</v>
      </c>
    </row>
    <row r="25" spans="1:11" ht="48.6" customHeight="1" x14ac:dyDescent="0.3">
      <c r="A25" s="1" t="s">
        <v>35</v>
      </c>
      <c r="B25">
        <v>19</v>
      </c>
      <c r="C25">
        <v>3.2</v>
      </c>
      <c r="D25">
        <v>20</v>
      </c>
      <c r="E25">
        <v>21200</v>
      </c>
      <c r="F25">
        <v>5.6</v>
      </c>
      <c r="G25">
        <v>2083</v>
      </c>
      <c r="H25">
        <v>14</v>
      </c>
      <c r="I25">
        <v>8</v>
      </c>
      <c r="J25">
        <v>80</v>
      </c>
      <c r="K25" t="s">
        <v>13</v>
      </c>
    </row>
    <row r="26" spans="1:11" ht="48.6" customHeight="1" x14ac:dyDescent="0.3">
      <c r="A26" s="1" t="s">
        <v>36</v>
      </c>
      <c r="B26">
        <v>34</v>
      </c>
      <c r="C26">
        <v>7.3</v>
      </c>
      <c r="D26">
        <v>47</v>
      </c>
      <c r="E26">
        <v>13300</v>
      </c>
      <c r="F26">
        <v>5</v>
      </c>
      <c r="G26">
        <v>1983</v>
      </c>
      <c r="H26">
        <v>18</v>
      </c>
      <c r="I26">
        <v>7</v>
      </c>
      <c r="J26">
        <v>135</v>
      </c>
      <c r="K26" t="s">
        <v>13</v>
      </c>
    </row>
    <row r="27" spans="1:11" ht="48.6" customHeight="1" x14ac:dyDescent="0.3">
      <c r="A27" s="1" t="s">
        <v>37</v>
      </c>
      <c r="B27">
        <v>11</v>
      </c>
      <c r="C27">
        <v>3.5</v>
      </c>
      <c r="D27">
        <v>25</v>
      </c>
      <c r="E27">
        <v>9900</v>
      </c>
      <c r="F27">
        <v>5</v>
      </c>
      <c r="G27">
        <v>1008</v>
      </c>
      <c r="H27">
        <v>36</v>
      </c>
      <c r="I27">
        <v>9</v>
      </c>
      <c r="J27">
        <v>68</v>
      </c>
      <c r="K27" t="s">
        <v>0</v>
      </c>
    </row>
    <row r="28" spans="1:11" ht="48.6" customHeight="1" x14ac:dyDescent="0.3">
      <c r="A28" s="1" t="s">
        <v>38</v>
      </c>
      <c r="B28">
        <v>63</v>
      </c>
      <c r="C28">
        <v>5.4</v>
      </c>
      <c r="D28">
        <v>39</v>
      </c>
      <c r="E28">
        <v>26600</v>
      </c>
      <c r="F28">
        <v>3.2</v>
      </c>
      <c r="G28">
        <v>2569</v>
      </c>
      <c r="H28">
        <v>4</v>
      </c>
      <c r="I28">
        <v>9</v>
      </c>
      <c r="J28">
        <v>237</v>
      </c>
      <c r="K28" t="s">
        <v>13</v>
      </c>
    </row>
    <row r="29" spans="1:11" ht="48.6" customHeight="1" x14ac:dyDescent="0.3">
      <c r="A29" s="1" t="s">
        <v>39</v>
      </c>
      <c r="B29">
        <v>42</v>
      </c>
      <c r="C29">
        <v>3.6</v>
      </c>
      <c r="D29">
        <v>29</v>
      </c>
      <c r="E29">
        <v>32400</v>
      </c>
      <c r="F29">
        <v>4.0999999999999996</v>
      </c>
      <c r="G29">
        <v>2133</v>
      </c>
      <c r="H29">
        <v>13</v>
      </c>
      <c r="I29">
        <v>44</v>
      </c>
      <c r="J29">
        <v>49</v>
      </c>
      <c r="K29" t="s">
        <v>0</v>
      </c>
    </row>
    <row r="30" spans="1:11" ht="48.6" customHeight="1" x14ac:dyDescent="0.3">
      <c r="A30" s="1" t="s">
        <v>40</v>
      </c>
      <c r="B30">
        <v>91</v>
      </c>
      <c r="C30">
        <v>4.9000000000000004</v>
      </c>
      <c r="D30">
        <v>37</v>
      </c>
      <c r="E30">
        <v>48900</v>
      </c>
      <c r="F30">
        <v>4.0999999999999996</v>
      </c>
      <c r="G30">
        <v>3254</v>
      </c>
      <c r="H30">
        <v>2</v>
      </c>
      <c r="I30">
        <v>39</v>
      </c>
      <c r="J30">
        <v>124</v>
      </c>
      <c r="K30" t="s">
        <v>0</v>
      </c>
    </row>
    <row r="31" spans="1:11" ht="48.6" customHeight="1" x14ac:dyDescent="0.3">
      <c r="A31" s="1" t="s">
        <v>41</v>
      </c>
      <c r="B31">
        <v>72</v>
      </c>
      <c r="C31">
        <v>2.6</v>
      </c>
      <c r="D31">
        <v>12</v>
      </c>
      <c r="E31">
        <v>51900</v>
      </c>
      <c r="F31">
        <v>3.1</v>
      </c>
      <c r="G31">
        <v>685</v>
      </c>
      <c r="H31">
        <v>47</v>
      </c>
      <c r="I31">
        <v>48</v>
      </c>
      <c r="J31">
        <v>108</v>
      </c>
      <c r="K31" t="s">
        <v>0</v>
      </c>
    </row>
    <row r="32" spans="1:11" ht="48.6" customHeight="1" x14ac:dyDescent="0.3">
      <c r="A32" s="1" t="s">
        <v>42</v>
      </c>
      <c r="B32">
        <v>84</v>
      </c>
      <c r="C32">
        <v>4.3</v>
      </c>
      <c r="D32">
        <v>34</v>
      </c>
      <c r="E32">
        <v>41200</v>
      </c>
      <c r="F32">
        <v>3.3</v>
      </c>
      <c r="G32">
        <v>1803</v>
      </c>
      <c r="H32">
        <v>26</v>
      </c>
      <c r="I32">
        <v>24</v>
      </c>
      <c r="J32">
        <v>94</v>
      </c>
      <c r="K32" t="s">
        <v>13</v>
      </c>
    </row>
    <row r="33" spans="1:11" ht="48.6" customHeight="1" x14ac:dyDescent="0.3">
      <c r="A33" s="1" t="s">
        <v>43</v>
      </c>
      <c r="B33">
        <v>36</v>
      </c>
      <c r="C33">
        <v>2.1</v>
      </c>
      <c r="D33">
        <v>3</v>
      </c>
      <c r="E33">
        <v>43800</v>
      </c>
      <c r="F33">
        <v>3.9</v>
      </c>
      <c r="G33">
        <v>1735</v>
      </c>
      <c r="H33">
        <v>30</v>
      </c>
      <c r="I33">
        <v>24</v>
      </c>
      <c r="J33">
        <v>107</v>
      </c>
      <c r="K33" t="s">
        <v>13</v>
      </c>
    </row>
    <row r="34" spans="1:11" ht="48.6" customHeight="1" x14ac:dyDescent="0.3">
      <c r="A34" s="1" t="s">
        <v>44</v>
      </c>
      <c r="B34">
        <v>43</v>
      </c>
      <c r="C34">
        <v>2.6</v>
      </c>
      <c r="D34">
        <v>12</v>
      </c>
      <c r="E34">
        <v>42900</v>
      </c>
      <c r="F34">
        <v>3.9</v>
      </c>
      <c r="G34">
        <v>363</v>
      </c>
      <c r="H34">
        <v>50</v>
      </c>
      <c r="I34">
        <v>75</v>
      </c>
      <c r="J34">
        <v>31</v>
      </c>
      <c r="K34" t="s">
        <v>0</v>
      </c>
    </row>
    <row r="35" spans="1:11" ht="48.6" customHeight="1" x14ac:dyDescent="0.3">
      <c r="A35" s="1" t="s">
        <v>45</v>
      </c>
      <c r="B35">
        <v>82</v>
      </c>
      <c r="C35">
        <v>3.5</v>
      </c>
      <c r="D35">
        <v>25</v>
      </c>
      <c r="G35">
        <v>1649</v>
      </c>
      <c r="H35">
        <v>31</v>
      </c>
      <c r="I35">
        <v>28</v>
      </c>
      <c r="J35">
        <v>122</v>
      </c>
      <c r="K35" t="s">
        <v>13</v>
      </c>
    </row>
    <row r="36" spans="1:11" ht="48.6" customHeight="1" x14ac:dyDescent="0.3">
      <c r="A36" s="1" t="s">
        <v>46</v>
      </c>
      <c r="B36">
        <v>161</v>
      </c>
      <c r="C36">
        <v>3.1</v>
      </c>
      <c r="D36">
        <v>18</v>
      </c>
      <c r="E36">
        <v>113600</v>
      </c>
      <c r="F36">
        <v>3.2</v>
      </c>
      <c r="G36">
        <v>2156</v>
      </c>
      <c r="H36">
        <v>11</v>
      </c>
      <c r="I36">
        <v>53</v>
      </c>
      <c r="J36">
        <v>112</v>
      </c>
      <c r="K36" t="s">
        <v>13</v>
      </c>
    </row>
    <row r="37" spans="1:11" ht="48.6" customHeight="1" x14ac:dyDescent="0.3">
      <c r="A37" s="1" t="s">
        <v>47</v>
      </c>
      <c r="B37">
        <v>35</v>
      </c>
      <c r="C37">
        <v>12.2</v>
      </c>
      <c r="D37">
        <v>49</v>
      </c>
      <c r="E37">
        <v>6500</v>
      </c>
      <c r="F37">
        <v>3.5</v>
      </c>
      <c r="G37">
        <v>1777</v>
      </c>
      <c r="H37">
        <v>28</v>
      </c>
      <c r="I37">
        <v>9</v>
      </c>
      <c r="J37">
        <v>101</v>
      </c>
      <c r="K37" t="s">
        <v>0</v>
      </c>
    </row>
    <row r="38" spans="1:11" ht="48.6" customHeight="1" x14ac:dyDescent="0.3">
      <c r="A38" s="1" t="s">
        <v>48</v>
      </c>
      <c r="B38">
        <v>70</v>
      </c>
      <c r="C38">
        <v>2.6</v>
      </c>
      <c r="D38">
        <v>12</v>
      </c>
      <c r="E38">
        <v>67500</v>
      </c>
      <c r="F38">
        <v>3.8</v>
      </c>
      <c r="G38">
        <v>768</v>
      </c>
      <c r="H38">
        <v>44</v>
      </c>
      <c r="I38">
        <v>58</v>
      </c>
      <c r="J38">
        <v>57</v>
      </c>
      <c r="K38" t="s">
        <v>0</v>
      </c>
    </row>
    <row r="39" spans="1:11" ht="48.6" customHeight="1" x14ac:dyDescent="0.3">
      <c r="A39" s="1" t="s">
        <v>49</v>
      </c>
      <c r="B39">
        <v>76</v>
      </c>
      <c r="C39">
        <v>5.7</v>
      </c>
      <c r="D39">
        <v>41</v>
      </c>
      <c r="E39">
        <v>33400</v>
      </c>
      <c r="F39">
        <v>3.6</v>
      </c>
      <c r="G39">
        <v>1971</v>
      </c>
      <c r="H39">
        <v>19</v>
      </c>
      <c r="I39">
        <v>16</v>
      </c>
      <c r="J39">
        <v>110</v>
      </c>
      <c r="K39" t="s">
        <v>13</v>
      </c>
    </row>
    <row r="40" spans="1:11" ht="48.6" customHeight="1" x14ac:dyDescent="0.3">
      <c r="A40" s="1" t="s">
        <v>50</v>
      </c>
      <c r="B40">
        <v>19</v>
      </c>
      <c r="C40">
        <v>2.7</v>
      </c>
      <c r="D40">
        <v>15</v>
      </c>
      <c r="G40">
        <v>1449</v>
      </c>
      <c r="H40">
        <v>33</v>
      </c>
      <c r="I40">
        <v>9</v>
      </c>
      <c r="J40">
        <v>108</v>
      </c>
      <c r="K40" t="s">
        <v>13</v>
      </c>
    </row>
    <row r="41" spans="1:11" ht="48.6" customHeight="1" x14ac:dyDescent="0.3">
      <c r="A41" s="1" t="s">
        <v>51</v>
      </c>
      <c r="B41">
        <v>67</v>
      </c>
      <c r="C41">
        <v>2.2000000000000002</v>
      </c>
      <c r="D41">
        <v>4</v>
      </c>
      <c r="E41">
        <v>89300</v>
      </c>
      <c r="F41">
        <v>4.8</v>
      </c>
      <c r="G41">
        <v>791</v>
      </c>
      <c r="H41">
        <v>42</v>
      </c>
      <c r="I41">
        <v>111</v>
      </c>
      <c r="J41">
        <v>50</v>
      </c>
      <c r="K41" t="s">
        <v>0</v>
      </c>
    </row>
    <row r="42" spans="1:11" ht="48.6" customHeight="1" x14ac:dyDescent="0.3">
      <c r="A42" s="1" t="s">
        <v>52</v>
      </c>
      <c r="B42">
        <v>114</v>
      </c>
      <c r="C42">
        <v>4</v>
      </c>
      <c r="D42">
        <v>32</v>
      </c>
      <c r="E42">
        <v>72900</v>
      </c>
      <c r="F42">
        <v>4</v>
      </c>
      <c r="G42">
        <v>2207</v>
      </c>
      <c r="H42">
        <v>9</v>
      </c>
      <c r="I42">
        <v>36</v>
      </c>
      <c r="J42">
        <v>104</v>
      </c>
      <c r="K42" t="s">
        <v>13</v>
      </c>
    </row>
    <row r="43" spans="1:11" ht="48.6" customHeight="1" x14ac:dyDescent="0.3">
      <c r="A43" s="1" t="s">
        <v>53</v>
      </c>
      <c r="B43">
        <v>63</v>
      </c>
      <c r="C43">
        <v>5.5</v>
      </c>
      <c r="D43">
        <v>40</v>
      </c>
      <c r="G43">
        <v>1515</v>
      </c>
      <c r="H43">
        <v>32</v>
      </c>
      <c r="I43">
        <v>14</v>
      </c>
      <c r="J43">
        <v>112</v>
      </c>
      <c r="K43" t="s">
        <v>13</v>
      </c>
    </row>
    <row r="44" spans="1:11" ht="48.6" customHeight="1" x14ac:dyDescent="0.3">
      <c r="A44" s="1" t="s">
        <v>54</v>
      </c>
      <c r="B44">
        <v>116</v>
      </c>
      <c r="C44">
        <v>6.4</v>
      </c>
      <c r="D44">
        <v>43</v>
      </c>
      <c r="E44">
        <v>30600</v>
      </c>
      <c r="F44">
        <v>2.2999999999999998</v>
      </c>
      <c r="G44">
        <v>1765</v>
      </c>
      <c r="H44">
        <v>29</v>
      </c>
      <c r="I44">
        <v>16</v>
      </c>
      <c r="J44">
        <v>206</v>
      </c>
      <c r="K44" t="s">
        <v>13</v>
      </c>
    </row>
    <row r="45" spans="1:11" ht="48.6" customHeight="1" x14ac:dyDescent="0.3">
      <c r="A45" s="1" t="s">
        <v>55</v>
      </c>
      <c r="B45">
        <v>101</v>
      </c>
      <c r="C45">
        <v>2.5</v>
      </c>
      <c r="D45">
        <v>10</v>
      </c>
      <c r="E45">
        <v>74800</v>
      </c>
      <c r="F45">
        <v>2.8</v>
      </c>
      <c r="G45">
        <v>2061</v>
      </c>
      <c r="H45">
        <v>15</v>
      </c>
      <c r="I45">
        <v>49</v>
      </c>
      <c r="J45">
        <v>138</v>
      </c>
      <c r="K45" t="s">
        <v>13</v>
      </c>
    </row>
    <row r="46" spans="1:11" ht="48.6" customHeight="1" x14ac:dyDescent="0.3">
      <c r="A46" s="1" t="s">
        <v>56</v>
      </c>
      <c r="B46">
        <v>8</v>
      </c>
      <c r="C46">
        <v>1.7</v>
      </c>
      <c r="D46">
        <v>2</v>
      </c>
      <c r="G46">
        <v>2023</v>
      </c>
      <c r="H46">
        <v>16</v>
      </c>
      <c r="I46">
        <v>7</v>
      </c>
      <c r="J46">
        <v>103</v>
      </c>
      <c r="K46" t="s">
        <v>13</v>
      </c>
    </row>
    <row r="47" spans="1:11" ht="48.6" customHeight="1" x14ac:dyDescent="0.3">
      <c r="A47" s="1" t="s">
        <v>57</v>
      </c>
      <c r="B47">
        <v>31</v>
      </c>
      <c r="C47">
        <v>8.9</v>
      </c>
      <c r="D47">
        <v>48</v>
      </c>
      <c r="E47">
        <v>9700</v>
      </c>
      <c r="F47">
        <v>4.5999999999999996</v>
      </c>
      <c r="G47">
        <v>889</v>
      </c>
      <c r="H47">
        <v>41</v>
      </c>
      <c r="I47">
        <v>11</v>
      </c>
      <c r="J47">
        <v>58</v>
      </c>
      <c r="K47" t="s">
        <v>0</v>
      </c>
    </row>
    <row r="48" spans="1:11" ht="48.6" customHeight="1" x14ac:dyDescent="0.3">
      <c r="A48" s="1" t="s">
        <v>58</v>
      </c>
      <c r="B48">
        <v>92</v>
      </c>
      <c r="C48">
        <v>2.4</v>
      </c>
      <c r="D48">
        <v>8</v>
      </c>
      <c r="E48">
        <v>80900</v>
      </c>
      <c r="F48">
        <v>3.1</v>
      </c>
      <c r="G48">
        <v>2151</v>
      </c>
      <c r="H48">
        <v>12</v>
      </c>
      <c r="I48">
        <v>67</v>
      </c>
      <c r="J48">
        <v>123</v>
      </c>
      <c r="K48" t="s">
        <v>13</v>
      </c>
    </row>
    <row r="49" spans="1:11" ht="48.6" customHeight="1" x14ac:dyDescent="0.3">
      <c r="A49" s="1" t="s">
        <v>59</v>
      </c>
      <c r="B49">
        <v>65</v>
      </c>
      <c r="C49">
        <v>17.7</v>
      </c>
      <c r="D49">
        <v>50</v>
      </c>
      <c r="G49">
        <v>3045</v>
      </c>
      <c r="H49">
        <v>3</v>
      </c>
      <c r="I49">
        <v>8</v>
      </c>
      <c r="J49">
        <v>111</v>
      </c>
      <c r="K49" t="s">
        <v>13</v>
      </c>
    </row>
    <row r="50" spans="1:11" ht="48.6" customHeight="1" x14ac:dyDescent="0.3">
      <c r="A50" s="1" t="s">
        <v>60</v>
      </c>
      <c r="B50">
        <v>536</v>
      </c>
      <c r="C50">
        <v>4.8</v>
      </c>
      <c r="D50">
        <v>35</v>
      </c>
      <c r="E50">
        <v>203200</v>
      </c>
      <c r="F50">
        <v>2.7</v>
      </c>
      <c r="G50">
        <v>2187</v>
      </c>
      <c r="H50">
        <v>10</v>
      </c>
      <c r="I50">
        <v>98</v>
      </c>
      <c r="J50">
        <v>136</v>
      </c>
      <c r="K50" t="s">
        <v>13</v>
      </c>
    </row>
    <row r="51" spans="1:11" ht="48.6" customHeight="1" x14ac:dyDescent="0.3">
      <c r="A51" s="1" t="s">
        <v>61</v>
      </c>
      <c r="B51">
        <v>375</v>
      </c>
      <c r="C51">
        <v>2.2999999999999998</v>
      </c>
      <c r="D51">
        <v>6</v>
      </c>
      <c r="E51">
        <v>345400</v>
      </c>
      <c r="F51">
        <v>3.5</v>
      </c>
      <c r="G51">
        <v>6422</v>
      </c>
      <c r="H51">
        <v>1</v>
      </c>
      <c r="I51">
        <v>216</v>
      </c>
      <c r="J51">
        <v>179</v>
      </c>
      <c r="K51" t="s">
        <v>0</v>
      </c>
    </row>
    <row r="55" spans="1:11" x14ac:dyDescent="0.3">
      <c r="A55" t="s">
        <v>62</v>
      </c>
      <c r="B55">
        <v>4628</v>
      </c>
      <c r="C55">
        <v>3.4</v>
      </c>
      <c r="F55">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3A60F-3950-4306-BB73-382C6AB6021E}">
  <dimension ref="A1:L55"/>
  <sheetViews>
    <sheetView topLeftCell="B1" workbookViewId="0">
      <selection activeCell="A10" sqref="A10"/>
    </sheetView>
  </sheetViews>
  <sheetFormatPr defaultRowHeight="14.4" x14ac:dyDescent="0.3"/>
  <cols>
    <col min="1" max="1" width="23.44140625" bestFit="1" customWidth="1"/>
    <col min="2" max="2" width="23.44140625" customWidth="1"/>
    <col min="3" max="3" width="24.5546875" bestFit="1" customWidth="1"/>
    <col min="4" max="4" width="21.5546875" bestFit="1" customWidth="1"/>
    <col min="5" max="5" width="24.5546875" bestFit="1" customWidth="1"/>
    <col min="6" max="6" width="30.33203125" bestFit="1" customWidth="1"/>
    <col min="7" max="7" width="25.44140625" bestFit="1" customWidth="1"/>
    <col min="8" max="8" width="26.88671875" bestFit="1" customWidth="1"/>
    <col min="9" max="9" width="23" bestFit="1" customWidth="1"/>
    <col min="10" max="10" width="11.6640625" bestFit="1" customWidth="1"/>
    <col min="11" max="11" width="34.44140625" bestFit="1" customWidth="1"/>
    <col min="12" max="12" width="23.21875" bestFit="1" customWidth="1"/>
  </cols>
  <sheetData>
    <row r="1" spans="1:12" x14ac:dyDescent="0.3">
      <c r="A1" t="s">
        <v>0</v>
      </c>
      <c r="B1" t="s">
        <v>128</v>
      </c>
      <c r="C1" t="s">
        <v>1</v>
      </c>
      <c r="D1" t="s">
        <v>2</v>
      </c>
      <c r="E1" t="s">
        <v>3</v>
      </c>
      <c r="F1" t="s">
        <v>4</v>
      </c>
      <c r="G1" t="s">
        <v>5</v>
      </c>
      <c r="H1" t="s">
        <v>6</v>
      </c>
      <c r="I1" t="s">
        <v>7</v>
      </c>
      <c r="J1" t="s">
        <v>8</v>
      </c>
      <c r="K1" t="s">
        <v>9</v>
      </c>
      <c r="L1" t="s">
        <v>10</v>
      </c>
    </row>
    <row r="2" spans="1:12" ht="43.2" x14ac:dyDescent="0.3">
      <c r="A2" s="1" t="s">
        <v>11</v>
      </c>
      <c r="B2" s="1" t="s">
        <v>77</v>
      </c>
      <c r="C2">
        <v>63</v>
      </c>
      <c r="D2">
        <v>3.5</v>
      </c>
      <c r="E2">
        <v>25</v>
      </c>
      <c r="F2">
        <v>36200</v>
      </c>
      <c r="G2">
        <v>3</v>
      </c>
      <c r="H2">
        <v>492</v>
      </c>
      <c r="I2">
        <v>49</v>
      </c>
      <c r="J2">
        <v>24</v>
      </c>
      <c r="K2">
        <v>1.1100000000000001</v>
      </c>
      <c r="L2" t="s">
        <v>0</v>
      </c>
    </row>
    <row r="3" spans="1:12" ht="43.2" x14ac:dyDescent="0.3">
      <c r="A3" s="1" t="s">
        <v>12</v>
      </c>
      <c r="B3" s="1" t="s">
        <v>78</v>
      </c>
      <c r="C3">
        <v>49</v>
      </c>
      <c r="D3">
        <v>6.9</v>
      </c>
      <c r="E3">
        <v>46</v>
      </c>
      <c r="F3">
        <v>19800</v>
      </c>
      <c r="G3">
        <v>4.0999999999999996</v>
      </c>
      <c r="H3">
        <v>1798</v>
      </c>
      <c r="I3">
        <v>27</v>
      </c>
      <c r="J3">
        <v>7</v>
      </c>
      <c r="K3">
        <v>1.73</v>
      </c>
      <c r="L3" t="s">
        <v>13</v>
      </c>
    </row>
    <row r="4" spans="1:12" ht="43.2" x14ac:dyDescent="0.3">
      <c r="A4" s="1" t="s">
        <v>14</v>
      </c>
      <c r="B4" s="1" t="s">
        <v>79</v>
      </c>
      <c r="C4">
        <v>44</v>
      </c>
      <c r="D4">
        <v>1.4</v>
      </c>
      <c r="E4">
        <v>1</v>
      </c>
      <c r="F4">
        <v>69700</v>
      </c>
      <c r="G4">
        <v>3.1</v>
      </c>
      <c r="H4">
        <v>1929</v>
      </c>
      <c r="I4">
        <v>21</v>
      </c>
      <c r="J4">
        <v>33</v>
      </c>
      <c r="K4">
        <v>1.23</v>
      </c>
      <c r="L4" t="s">
        <v>13</v>
      </c>
    </row>
    <row r="5" spans="1:12" ht="43.2" x14ac:dyDescent="0.3">
      <c r="A5" s="1" t="s">
        <v>15</v>
      </c>
      <c r="B5" s="1" t="s">
        <v>80</v>
      </c>
      <c r="C5">
        <v>101</v>
      </c>
      <c r="D5">
        <v>3.8</v>
      </c>
      <c r="E5">
        <v>30</v>
      </c>
      <c r="F5">
        <v>65100</v>
      </c>
      <c r="G5">
        <v>3.5</v>
      </c>
      <c r="H5">
        <v>727</v>
      </c>
      <c r="I5">
        <v>45</v>
      </c>
      <c r="J5">
        <v>30</v>
      </c>
      <c r="K5">
        <v>0.82</v>
      </c>
      <c r="L5" t="s">
        <v>0</v>
      </c>
    </row>
    <row r="6" spans="1:12" ht="43.2" x14ac:dyDescent="0.3">
      <c r="A6" s="1" t="s">
        <v>16</v>
      </c>
      <c r="B6" s="1" t="s">
        <v>81</v>
      </c>
      <c r="C6">
        <v>97</v>
      </c>
      <c r="D6">
        <v>6.1</v>
      </c>
      <c r="E6">
        <v>42</v>
      </c>
      <c r="F6">
        <v>39000</v>
      </c>
      <c r="G6">
        <v>3.6</v>
      </c>
      <c r="H6">
        <v>1872</v>
      </c>
      <c r="I6">
        <v>24</v>
      </c>
      <c r="J6">
        <v>19</v>
      </c>
      <c r="K6">
        <v>1.31</v>
      </c>
      <c r="L6" t="s">
        <v>13</v>
      </c>
    </row>
    <row r="7" spans="1:12" ht="43.2" x14ac:dyDescent="0.3">
      <c r="A7" s="1" t="s">
        <v>17</v>
      </c>
      <c r="B7" s="1" t="s">
        <v>82</v>
      </c>
      <c r="C7">
        <v>146</v>
      </c>
      <c r="D7">
        <v>2.5</v>
      </c>
      <c r="E7">
        <v>10</v>
      </c>
      <c r="F7">
        <v>124900</v>
      </c>
      <c r="G7">
        <v>3.2</v>
      </c>
      <c r="H7">
        <v>1876</v>
      </c>
      <c r="I7">
        <v>23</v>
      </c>
      <c r="J7">
        <v>74</v>
      </c>
      <c r="K7">
        <v>1.37</v>
      </c>
      <c r="L7" t="s">
        <v>13</v>
      </c>
    </row>
    <row r="8" spans="1:12" ht="43.2" x14ac:dyDescent="0.3">
      <c r="A8" s="1" t="s">
        <v>18</v>
      </c>
      <c r="B8" s="1" t="s">
        <v>83</v>
      </c>
      <c r="C8">
        <v>48</v>
      </c>
      <c r="D8">
        <v>5.2</v>
      </c>
      <c r="E8">
        <v>38</v>
      </c>
      <c r="F8">
        <v>24300</v>
      </c>
      <c r="G8">
        <v>3.9</v>
      </c>
      <c r="H8">
        <v>2565</v>
      </c>
      <c r="I8">
        <v>5</v>
      </c>
      <c r="J8">
        <v>9</v>
      </c>
      <c r="K8">
        <v>1.28</v>
      </c>
      <c r="L8" t="s">
        <v>13</v>
      </c>
    </row>
    <row r="9" spans="1:12" ht="43.2" x14ac:dyDescent="0.3">
      <c r="A9" s="1" t="s">
        <v>19</v>
      </c>
      <c r="B9" s="1" t="s">
        <v>84</v>
      </c>
      <c r="C9">
        <v>14</v>
      </c>
      <c r="D9">
        <v>3.1</v>
      </c>
      <c r="E9">
        <v>18</v>
      </c>
      <c r="F9">
        <v>7900</v>
      </c>
      <c r="G9">
        <v>2.8</v>
      </c>
      <c r="H9">
        <v>2406</v>
      </c>
      <c r="I9">
        <v>6</v>
      </c>
      <c r="J9">
        <v>5</v>
      </c>
      <c r="K9">
        <v>1.75</v>
      </c>
      <c r="L9" t="s">
        <v>13</v>
      </c>
    </row>
    <row r="10" spans="1:12" ht="43.2" x14ac:dyDescent="0.3">
      <c r="A10" s="1" t="s">
        <v>20</v>
      </c>
      <c r="B10" s="1" t="s">
        <v>85</v>
      </c>
      <c r="C10">
        <v>20</v>
      </c>
      <c r="D10">
        <v>3.4</v>
      </c>
      <c r="E10">
        <v>22</v>
      </c>
      <c r="F10">
        <v>13700</v>
      </c>
      <c r="G10">
        <v>3.8</v>
      </c>
      <c r="H10">
        <v>964</v>
      </c>
      <c r="I10">
        <v>39</v>
      </c>
      <c r="J10">
        <v>20</v>
      </c>
      <c r="K10">
        <v>0.79</v>
      </c>
      <c r="L10" t="s">
        <v>0</v>
      </c>
    </row>
    <row r="11" spans="1:12" ht="43.2" x14ac:dyDescent="0.3">
      <c r="A11" s="1" t="s">
        <v>21</v>
      </c>
      <c r="B11" s="1" t="s">
        <v>86</v>
      </c>
      <c r="C11">
        <v>97</v>
      </c>
      <c r="D11">
        <v>6.6</v>
      </c>
      <c r="E11">
        <v>44</v>
      </c>
      <c r="F11">
        <v>45600</v>
      </c>
      <c r="G11">
        <v>4.5</v>
      </c>
      <c r="H11">
        <v>790</v>
      </c>
      <c r="I11">
        <v>43</v>
      </c>
      <c r="J11">
        <v>26</v>
      </c>
      <c r="K11">
        <v>0.98</v>
      </c>
      <c r="L11" t="s">
        <v>0</v>
      </c>
    </row>
    <row r="12" spans="1:12" ht="43.2" x14ac:dyDescent="0.3">
      <c r="A12" s="1" t="s">
        <v>22</v>
      </c>
      <c r="B12" s="1" t="s">
        <v>87</v>
      </c>
      <c r="C12">
        <v>60</v>
      </c>
      <c r="D12">
        <v>2.2999999999999998</v>
      </c>
      <c r="E12">
        <v>6</v>
      </c>
      <c r="F12">
        <v>54400</v>
      </c>
      <c r="G12">
        <v>3.2</v>
      </c>
      <c r="H12">
        <v>891</v>
      </c>
      <c r="I12">
        <v>40</v>
      </c>
      <c r="J12">
        <v>30</v>
      </c>
      <c r="K12">
        <v>1.26</v>
      </c>
      <c r="L12" t="s">
        <v>0</v>
      </c>
    </row>
    <row r="13" spans="1:12" ht="43.2" x14ac:dyDescent="0.3">
      <c r="A13" s="1" t="s">
        <v>23</v>
      </c>
      <c r="B13" s="1" t="s">
        <v>88</v>
      </c>
      <c r="C13">
        <v>218</v>
      </c>
      <c r="D13">
        <v>2.7</v>
      </c>
      <c r="E13">
        <v>15</v>
      </c>
      <c r="H13">
        <v>1821</v>
      </c>
      <c r="I13">
        <v>25</v>
      </c>
      <c r="J13">
        <v>60</v>
      </c>
      <c r="K13">
        <v>2.38</v>
      </c>
      <c r="L13" t="s">
        <v>13</v>
      </c>
    </row>
    <row r="14" spans="1:12" ht="43.2" x14ac:dyDescent="0.3">
      <c r="A14" s="1" t="s">
        <v>24</v>
      </c>
      <c r="B14" s="1" t="s">
        <v>89</v>
      </c>
      <c r="C14">
        <v>149</v>
      </c>
      <c r="D14">
        <v>3.8</v>
      </c>
      <c r="E14">
        <v>30</v>
      </c>
      <c r="F14">
        <v>66200</v>
      </c>
      <c r="G14">
        <v>2.7</v>
      </c>
      <c r="H14">
        <v>726</v>
      </c>
      <c r="I14">
        <v>46</v>
      </c>
      <c r="J14">
        <v>48</v>
      </c>
      <c r="K14">
        <v>0.82</v>
      </c>
      <c r="L14" t="s">
        <v>0</v>
      </c>
    </row>
    <row r="15" spans="1:12" ht="43.2" x14ac:dyDescent="0.3">
      <c r="A15" s="1" t="s">
        <v>25</v>
      </c>
      <c r="B15" s="1" t="s">
        <v>90</v>
      </c>
      <c r="C15">
        <v>88</v>
      </c>
      <c r="D15">
        <v>3.3</v>
      </c>
      <c r="E15">
        <v>21</v>
      </c>
      <c r="F15">
        <v>60300</v>
      </c>
      <c r="G15">
        <v>3.3</v>
      </c>
      <c r="H15">
        <v>1931</v>
      </c>
      <c r="I15">
        <v>20</v>
      </c>
      <c r="J15">
        <v>26</v>
      </c>
      <c r="K15">
        <v>1.18</v>
      </c>
      <c r="L15" t="s">
        <v>13</v>
      </c>
    </row>
    <row r="16" spans="1:12" ht="43.2" x14ac:dyDescent="0.3">
      <c r="A16" s="1" t="s">
        <v>26</v>
      </c>
      <c r="B16" s="1" t="s">
        <v>91</v>
      </c>
      <c r="C16">
        <v>137</v>
      </c>
      <c r="D16">
        <v>3.4</v>
      </c>
      <c r="E16">
        <v>22</v>
      </c>
      <c r="F16">
        <v>105500</v>
      </c>
      <c r="G16">
        <v>4</v>
      </c>
      <c r="H16">
        <v>542</v>
      </c>
      <c r="I16">
        <v>48</v>
      </c>
      <c r="J16">
        <v>63</v>
      </c>
      <c r="K16">
        <v>0.45</v>
      </c>
      <c r="L16" t="s">
        <v>0</v>
      </c>
    </row>
    <row r="17" spans="1:12" ht="43.2" x14ac:dyDescent="0.3">
      <c r="A17" s="1" t="s">
        <v>27</v>
      </c>
      <c r="B17" s="1" t="s">
        <v>92</v>
      </c>
      <c r="C17">
        <v>115</v>
      </c>
      <c r="D17">
        <v>4.2</v>
      </c>
      <c r="E17">
        <v>33</v>
      </c>
      <c r="F17">
        <v>77900</v>
      </c>
      <c r="G17">
        <v>3.9</v>
      </c>
      <c r="H17">
        <v>1054</v>
      </c>
      <c r="I17">
        <v>34</v>
      </c>
      <c r="J17">
        <v>39</v>
      </c>
      <c r="K17">
        <v>1.04</v>
      </c>
      <c r="L17" t="s">
        <v>0</v>
      </c>
    </row>
    <row r="18" spans="1:12" ht="43.2" x14ac:dyDescent="0.3">
      <c r="A18" s="1" t="s">
        <v>28</v>
      </c>
      <c r="B18" s="1" t="s">
        <v>93</v>
      </c>
      <c r="C18">
        <v>146</v>
      </c>
      <c r="D18">
        <v>3.5</v>
      </c>
      <c r="E18">
        <v>25</v>
      </c>
      <c r="F18">
        <v>75900</v>
      </c>
      <c r="G18">
        <v>2.9</v>
      </c>
      <c r="H18">
        <v>996</v>
      </c>
      <c r="I18">
        <v>38</v>
      </c>
      <c r="J18">
        <v>104</v>
      </c>
      <c r="K18">
        <v>0.6</v>
      </c>
      <c r="L18" t="s">
        <v>0</v>
      </c>
    </row>
    <row r="19" spans="1:12" ht="43.2" x14ac:dyDescent="0.3">
      <c r="A19" s="1" t="s">
        <v>29</v>
      </c>
      <c r="B19" s="1" t="s">
        <v>94</v>
      </c>
      <c r="C19">
        <v>14</v>
      </c>
      <c r="D19">
        <v>2.2000000000000002</v>
      </c>
      <c r="E19">
        <v>4</v>
      </c>
      <c r="H19">
        <v>2243</v>
      </c>
      <c r="I19">
        <v>8</v>
      </c>
      <c r="J19">
        <v>7</v>
      </c>
      <c r="K19">
        <v>1.19</v>
      </c>
      <c r="L19" t="s">
        <v>13</v>
      </c>
    </row>
    <row r="20" spans="1:12" ht="43.2" x14ac:dyDescent="0.3">
      <c r="A20" s="1" t="s">
        <v>30</v>
      </c>
      <c r="B20" s="1" t="s">
        <v>95</v>
      </c>
      <c r="C20">
        <v>39</v>
      </c>
      <c r="D20">
        <v>4.8</v>
      </c>
      <c r="E20">
        <v>35</v>
      </c>
      <c r="F20">
        <v>19900</v>
      </c>
      <c r="G20">
        <v>3.9</v>
      </c>
      <c r="H20">
        <v>998</v>
      </c>
      <c r="I20">
        <v>37</v>
      </c>
      <c r="J20">
        <v>9</v>
      </c>
      <c r="K20">
        <v>1.91</v>
      </c>
      <c r="L20" t="s">
        <v>0</v>
      </c>
    </row>
    <row r="21" spans="1:12" ht="43.2" x14ac:dyDescent="0.3">
      <c r="A21" s="1" t="s">
        <v>31</v>
      </c>
      <c r="B21" s="1" t="s">
        <v>96</v>
      </c>
      <c r="C21">
        <v>194</v>
      </c>
      <c r="D21">
        <v>3.4</v>
      </c>
      <c r="E21">
        <v>22</v>
      </c>
      <c r="F21">
        <v>155300</v>
      </c>
      <c r="G21">
        <v>3.9</v>
      </c>
      <c r="H21">
        <v>1916</v>
      </c>
      <c r="I21">
        <v>22</v>
      </c>
      <c r="J21">
        <v>57</v>
      </c>
      <c r="K21">
        <v>1.25</v>
      </c>
      <c r="L21" t="s">
        <v>13</v>
      </c>
    </row>
    <row r="22" spans="1:12" ht="43.2" x14ac:dyDescent="0.3">
      <c r="A22" s="1" t="s">
        <v>32</v>
      </c>
      <c r="B22" s="1" t="s">
        <v>97</v>
      </c>
      <c r="C22">
        <v>31</v>
      </c>
      <c r="D22">
        <v>6.7</v>
      </c>
      <c r="E22">
        <v>45</v>
      </c>
      <c r="H22">
        <v>2346</v>
      </c>
      <c r="I22">
        <v>7</v>
      </c>
      <c r="K22">
        <v>5.21</v>
      </c>
      <c r="L22" t="s">
        <v>13</v>
      </c>
    </row>
    <row r="23" spans="1:12" ht="43.2" x14ac:dyDescent="0.3">
      <c r="A23" s="1" t="s">
        <v>33</v>
      </c>
      <c r="B23" s="1" t="s">
        <v>98</v>
      </c>
      <c r="C23">
        <v>202</v>
      </c>
      <c r="D23">
        <v>2.4</v>
      </c>
      <c r="E23">
        <v>8</v>
      </c>
      <c r="F23">
        <v>146300</v>
      </c>
      <c r="G23">
        <v>2.5</v>
      </c>
      <c r="H23">
        <v>2016</v>
      </c>
      <c r="I23">
        <v>17</v>
      </c>
      <c r="J23">
        <v>105</v>
      </c>
      <c r="K23">
        <v>1.84</v>
      </c>
      <c r="L23" t="s">
        <v>13</v>
      </c>
    </row>
    <row r="24" spans="1:12" ht="43.2" x14ac:dyDescent="0.3">
      <c r="A24" s="1" t="s">
        <v>34</v>
      </c>
      <c r="B24" s="1" t="s">
        <v>99</v>
      </c>
      <c r="C24">
        <v>39</v>
      </c>
      <c r="D24">
        <v>3</v>
      </c>
      <c r="E24">
        <v>17</v>
      </c>
      <c r="F24">
        <v>27700</v>
      </c>
      <c r="G24">
        <v>3.4</v>
      </c>
      <c r="H24">
        <v>1053</v>
      </c>
      <c r="I24">
        <v>35</v>
      </c>
      <c r="J24">
        <v>22</v>
      </c>
      <c r="K24">
        <v>0.81</v>
      </c>
      <c r="L24" t="s">
        <v>0</v>
      </c>
    </row>
    <row r="25" spans="1:12" ht="43.2" x14ac:dyDescent="0.3">
      <c r="A25" s="1" t="s">
        <v>35</v>
      </c>
      <c r="B25" s="1" t="s">
        <v>100</v>
      </c>
      <c r="C25">
        <v>19</v>
      </c>
      <c r="D25">
        <v>3.2</v>
      </c>
      <c r="E25">
        <v>20</v>
      </c>
      <c r="F25">
        <v>21200</v>
      </c>
      <c r="G25">
        <v>5.6</v>
      </c>
      <c r="H25">
        <v>2083</v>
      </c>
      <c r="I25">
        <v>14</v>
      </c>
      <c r="J25">
        <v>8</v>
      </c>
      <c r="K25">
        <v>0.8</v>
      </c>
      <c r="L25" t="s">
        <v>13</v>
      </c>
    </row>
    <row r="26" spans="1:12" ht="43.2" x14ac:dyDescent="0.3">
      <c r="A26" s="1" t="s">
        <v>36</v>
      </c>
      <c r="B26" s="1" t="s">
        <v>101</v>
      </c>
      <c r="C26">
        <v>34</v>
      </c>
      <c r="D26">
        <v>7.3</v>
      </c>
      <c r="E26">
        <v>47</v>
      </c>
      <c r="F26">
        <v>13300</v>
      </c>
      <c r="G26">
        <v>5</v>
      </c>
      <c r="H26">
        <v>1983</v>
      </c>
      <c r="I26">
        <v>18</v>
      </c>
      <c r="J26">
        <v>7</v>
      </c>
      <c r="K26">
        <v>1.35</v>
      </c>
      <c r="L26" t="s">
        <v>13</v>
      </c>
    </row>
    <row r="27" spans="1:12" ht="43.2" x14ac:dyDescent="0.3">
      <c r="A27" s="1" t="s">
        <v>37</v>
      </c>
      <c r="B27" s="1" t="s">
        <v>102</v>
      </c>
      <c r="C27">
        <v>11</v>
      </c>
      <c r="D27">
        <v>3.5</v>
      </c>
      <c r="E27">
        <v>25</v>
      </c>
      <c r="F27">
        <v>9900</v>
      </c>
      <c r="G27">
        <v>5</v>
      </c>
      <c r="H27">
        <v>1008</v>
      </c>
      <c r="I27">
        <v>36</v>
      </c>
      <c r="J27">
        <v>9</v>
      </c>
      <c r="K27">
        <v>0.68</v>
      </c>
      <c r="L27" t="s">
        <v>0</v>
      </c>
    </row>
    <row r="28" spans="1:12" ht="43.2" x14ac:dyDescent="0.3">
      <c r="A28" s="1" t="s">
        <v>38</v>
      </c>
      <c r="B28" s="1" t="s">
        <v>103</v>
      </c>
      <c r="C28">
        <v>63</v>
      </c>
      <c r="D28">
        <v>5.4</v>
      </c>
      <c r="E28">
        <v>39</v>
      </c>
      <c r="F28">
        <v>26600</v>
      </c>
      <c r="G28">
        <v>3.2</v>
      </c>
      <c r="H28">
        <v>2569</v>
      </c>
      <c r="I28">
        <v>4</v>
      </c>
      <c r="J28">
        <v>9</v>
      </c>
      <c r="K28">
        <v>2.37</v>
      </c>
      <c r="L28" t="s">
        <v>13</v>
      </c>
    </row>
    <row r="29" spans="1:12" ht="43.2" x14ac:dyDescent="0.3">
      <c r="A29" s="1" t="s">
        <v>39</v>
      </c>
      <c r="B29" s="1" t="s">
        <v>104</v>
      </c>
      <c r="C29">
        <v>42</v>
      </c>
      <c r="D29">
        <v>3.6</v>
      </c>
      <c r="E29">
        <v>29</v>
      </c>
      <c r="F29">
        <v>32400</v>
      </c>
      <c r="G29">
        <v>4.0999999999999996</v>
      </c>
      <c r="H29">
        <v>2133</v>
      </c>
      <c r="I29">
        <v>13</v>
      </c>
      <c r="J29">
        <v>44</v>
      </c>
      <c r="K29">
        <v>0.49</v>
      </c>
      <c r="L29" t="s">
        <v>0</v>
      </c>
    </row>
    <row r="30" spans="1:12" ht="43.2" x14ac:dyDescent="0.3">
      <c r="A30" s="1" t="s">
        <v>40</v>
      </c>
      <c r="B30" s="1" t="s">
        <v>105</v>
      </c>
      <c r="C30">
        <v>91</v>
      </c>
      <c r="D30">
        <v>4.9000000000000004</v>
      </c>
      <c r="E30">
        <v>37</v>
      </c>
      <c r="F30">
        <v>48900</v>
      </c>
      <c r="G30">
        <v>4.0999999999999996</v>
      </c>
      <c r="H30">
        <v>3254</v>
      </c>
      <c r="I30">
        <v>2</v>
      </c>
      <c r="J30">
        <v>39</v>
      </c>
      <c r="K30">
        <v>1.24</v>
      </c>
      <c r="L30" t="s">
        <v>0</v>
      </c>
    </row>
    <row r="31" spans="1:12" ht="43.2" x14ac:dyDescent="0.3">
      <c r="A31" s="1" t="s">
        <v>41</v>
      </c>
      <c r="B31" s="1" t="s">
        <v>106</v>
      </c>
      <c r="C31">
        <v>72</v>
      </c>
      <c r="D31">
        <v>2.6</v>
      </c>
      <c r="E31">
        <v>12</v>
      </c>
      <c r="F31">
        <v>51900</v>
      </c>
      <c r="G31">
        <v>3.1</v>
      </c>
      <c r="H31">
        <v>685</v>
      </c>
      <c r="I31">
        <v>47</v>
      </c>
      <c r="J31">
        <v>48</v>
      </c>
      <c r="K31">
        <v>1.08</v>
      </c>
      <c r="L31" t="s">
        <v>0</v>
      </c>
    </row>
    <row r="32" spans="1:12" ht="43.2" x14ac:dyDescent="0.3">
      <c r="A32" s="1" t="s">
        <v>42</v>
      </c>
      <c r="B32" s="1" t="s">
        <v>107</v>
      </c>
      <c r="C32">
        <v>84</v>
      </c>
      <c r="D32">
        <v>4.3</v>
      </c>
      <c r="E32">
        <v>34</v>
      </c>
      <c r="F32">
        <v>41200</v>
      </c>
      <c r="G32">
        <v>3.3</v>
      </c>
      <c r="H32">
        <v>1803</v>
      </c>
      <c r="I32">
        <v>26</v>
      </c>
      <c r="J32">
        <v>24</v>
      </c>
      <c r="K32">
        <v>0.94</v>
      </c>
      <c r="L32" t="s">
        <v>13</v>
      </c>
    </row>
    <row r="33" spans="1:12" ht="43.2" x14ac:dyDescent="0.3">
      <c r="A33" s="1" t="s">
        <v>43</v>
      </c>
      <c r="B33" s="1" t="s">
        <v>108</v>
      </c>
      <c r="C33">
        <v>36</v>
      </c>
      <c r="D33">
        <v>2.1</v>
      </c>
      <c r="E33">
        <v>3</v>
      </c>
      <c r="F33">
        <v>43800</v>
      </c>
      <c r="G33">
        <v>3.9</v>
      </c>
      <c r="H33">
        <v>1735</v>
      </c>
      <c r="I33">
        <v>30</v>
      </c>
      <c r="J33">
        <v>24</v>
      </c>
      <c r="K33">
        <v>1.07</v>
      </c>
      <c r="L33" t="s">
        <v>13</v>
      </c>
    </row>
    <row r="34" spans="1:12" ht="43.2" x14ac:dyDescent="0.3">
      <c r="A34" s="1" t="s">
        <v>44</v>
      </c>
      <c r="B34" s="1" t="s">
        <v>109</v>
      </c>
      <c r="C34">
        <v>43</v>
      </c>
      <c r="D34">
        <v>2.6</v>
      </c>
      <c r="E34">
        <v>12</v>
      </c>
      <c r="F34">
        <v>42900</v>
      </c>
      <c r="G34">
        <v>3.9</v>
      </c>
      <c r="H34">
        <v>363</v>
      </c>
      <c r="I34">
        <v>50</v>
      </c>
      <c r="J34">
        <v>75</v>
      </c>
      <c r="K34">
        <v>0.31</v>
      </c>
      <c r="L34" t="s">
        <v>0</v>
      </c>
    </row>
    <row r="35" spans="1:12" ht="43.2" x14ac:dyDescent="0.3">
      <c r="A35" s="1" t="s">
        <v>45</v>
      </c>
      <c r="B35" s="1" t="s">
        <v>110</v>
      </c>
      <c r="C35">
        <v>82</v>
      </c>
      <c r="D35">
        <v>3.5</v>
      </c>
      <c r="E35">
        <v>25</v>
      </c>
      <c r="H35">
        <v>1649</v>
      </c>
      <c r="I35">
        <v>31</v>
      </c>
      <c r="J35">
        <v>28</v>
      </c>
      <c r="K35">
        <v>1.22</v>
      </c>
      <c r="L35" t="s">
        <v>13</v>
      </c>
    </row>
    <row r="36" spans="1:12" ht="43.2" x14ac:dyDescent="0.3">
      <c r="A36" s="1" t="s">
        <v>46</v>
      </c>
      <c r="B36" s="1" t="s">
        <v>111</v>
      </c>
      <c r="C36">
        <v>161</v>
      </c>
      <c r="D36">
        <v>3.1</v>
      </c>
      <c r="E36">
        <v>18</v>
      </c>
      <c r="F36">
        <v>113600</v>
      </c>
      <c r="G36">
        <v>3.2</v>
      </c>
      <c r="H36">
        <v>2156</v>
      </c>
      <c r="I36">
        <v>11</v>
      </c>
      <c r="J36">
        <v>53</v>
      </c>
      <c r="K36">
        <v>1.1200000000000001</v>
      </c>
      <c r="L36" t="s">
        <v>13</v>
      </c>
    </row>
    <row r="37" spans="1:12" ht="43.2" x14ac:dyDescent="0.3">
      <c r="A37" s="1" t="s">
        <v>47</v>
      </c>
      <c r="B37" s="1" t="s">
        <v>112</v>
      </c>
      <c r="C37">
        <v>35</v>
      </c>
      <c r="D37">
        <v>12.2</v>
      </c>
      <c r="E37">
        <v>49</v>
      </c>
      <c r="F37">
        <v>6500</v>
      </c>
      <c r="G37">
        <v>3.5</v>
      </c>
      <c r="H37">
        <v>1777</v>
      </c>
      <c r="I37">
        <v>28</v>
      </c>
      <c r="J37">
        <v>9</v>
      </c>
      <c r="K37">
        <v>1.01</v>
      </c>
      <c r="L37" t="s">
        <v>0</v>
      </c>
    </row>
    <row r="38" spans="1:12" ht="43.2" x14ac:dyDescent="0.3">
      <c r="A38" s="1" t="s">
        <v>48</v>
      </c>
      <c r="B38" s="1" t="s">
        <v>113</v>
      </c>
      <c r="C38">
        <v>70</v>
      </c>
      <c r="D38">
        <v>2.6</v>
      </c>
      <c r="E38">
        <v>12</v>
      </c>
      <c r="F38">
        <v>67500</v>
      </c>
      <c r="G38">
        <v>3.8</v>
      </c>
      <c r="H38">
        <v>768</v>
      </c>
      <c r="I38">
        <v>44</v>
      </c>
      <c r="J38">
        <v>58</v>
      </c>
      <c r="K38">
        <v>0.56999999999999995</v>
      </c>
      <c r="L38" t="s">
        <v>0</v>
      </c>
    </row>
    <row r="39" spans="1:12" ht="43.2" x14ac:dyDescent="0.3">
      <c r="A39" s="1" t="s">
        <v>49</v>
      </c>
      <c r="B39" s="1" t="s">
        <v>114</v>
      </c>
      <c r="C39">
        <v>76</v>
      </c>
      <c r="D39">
        <v>5.7</v>
      </c>
      <c r="E39">
        <v>41</v>
      </c>
      <c r="F39">
        <v>33400</v>
      </c>
      <c r="G39">
        <v>3.6</v>
      </c>
      <c r="H39">
        <v>1971</v>
      </c>
      <c r="I39">
        <v>19</v>
      </c>
      <c r="J39">
        <v>16</v>
      </c>
      <c r="K39">
        <v>1.1000000000000001</v>
      </c>
      <c r="L39" t="s">
        <v>13</v>
      </c>
    </row>
    <row r="40" spans="1:12" ht="43.2" x14ac:dyDescent="0.3">
      <c r="A40" s="1" t="s">
        <v>50</v>
      </c>
      <c r="B40" s="1" t="s">
        <v>115</v>
      </c>
      <c r="C40">
        <v>19</v>
      </c>
      <c r="D40">
        <v>2.7</v>
      </c>
      <c r="E40">
        <v>15</v>
      </c>
      <c r="H40">
        <v>1449</v>
      </c>
      <c r="I40">
        <v>33</v>
      </c>
      <c r="J40">
        <v>9</v>
      </c>
      <c r="K40">
        <v>1.08</v>
      </c>
      <c r="L40" t="s">
        <v>13</v>
      </c>
    </row>
    <row r="41" spans="1:12" ht="43.2" x14ac:dyDescent="0.3">
      <c r="A41" s="1" t="s">
        <v>51</v>
      </c>
      <c r="B41" s="1" t="s">
        <v>116</v>
      </c>
      <c r="C41">
        <v>67</v>
      </c>
      <c r="D41">
        <v>2.2000000000000002</v>
      </c>
      <c r="E41">
        <v>4</v>
      </c>
      <c r="F41">
        <v>89300</v>
      </c>
      <c r="G41">
        <v>4.8</v>
      </c>
      <c r="H41">
        <v>791</v>
      </c>
      <c r="I41">
        <v>42</v>
      </c>
      <c r="J41">
        <v>111</v>
      </c>
      <c r="K41">
        <v>0.5</v>
      </c>
      <c r="L41" t="s">
        <v>0</v>
      </c>
    </row>
    <row r="42" spans="1:12" ht="43.2" x14ac:dyDescent="0.3">
      <c r="A42" s="1" t="s">
        <v>52</v>
      </c>
      <c r="B42" s="1" t="s">
        <v>117</v>
      </c>
      <c r="C42">
        <v>114</v>
      </c>
      <c r="D42">
        <v>4</v>
      </c>
      <c r="E42">
        <v>32</v>
      </c>
      <c r="F42">
        <v>72900</v>
      </c>
      <c r="G42">
        <v>4</v>
      </c>
      <c r="H42">
        <v>2207</v>
      </c>
      <c r="I42">
        <v>9</v>
      </c>
      <c r="J42">
        <v>36</v>
      </c>
      <c r="K42">
        <v>1.04</v>
      </c>
      <c r="L42" t="s">
        <v>13</v>
      </c>
    </row>
    <row r="43" spans="1:12" ht="43.2" x14ac:dyDescent="0.3">
      <c r="A43" s="1" t="s">
        <v>53</v>
      </c>
      <c r="B43" s="1" t="s">
        <v>118</v>
      </c>
      <c r="C43">
        <v>63</v>
      </c>
      <c r="D43">
        <v>5.5</v>
      </c>
      <c r="E43">
        <v>40</v>
      </c>
      <c r="H43">
        <v>1515</v>
      </c>
      <c r="I43">
        <v>32</v>
      </c>
      <c r="J43">
        <v>14</v>
      </c>
      <c r="K43">
        <v>1.1200000000000001</v>
      </c>
      <c r="L43" t="s">
        <v>13</v>
      </c>
    </row>
    <row r="44" spans="1:12" ht="43.2" x14ac:dyDescent="0.3">
      <c r="A44" s="1" t="s">
        <v>54</v>
      </c>
      <c r="B44" s="1" t="s">
        <v>119</v>
      </c>
      <c r="C44">
        <v>116</v>
      </c>
      <c r="D44">
        <v>6.4</v>
      </c>
      <c r="E44">
        <v>43</v>
      </c>
      <c r="F44">
        <v>30600</v>
      </c>
      <c r="G44">
        <v>2.2999999999999998</v>
      </c>
      <c r="H44">
        <v>1765</v>
      </c>
      <c r="I44">
        <v>29</v>
      </c>
      <c r="J44">
        <v>16</v>
      </c>
      <c r="K44">
        <v>2.06</v>
      </c>
      <c r="L44" t="s">
        <v>13</v>
      </c>
    </row>
    <row r="45" spans="1:12" ht="43.2" x14ac:dyDescent="0.3">
      <c r="A45" s="1" t="s">
        <v>55</v>
      </c>
      <c r="B45" s="1" t="s">
        <v>120</v>
      </c>
      <c r="C45">
        <v>101</v>
      </c>
      <c r="D45">
        <v>2.5</v>
      </c>
      <c r="E45">
        <v>10</v>
      </c>
      <c r="F45">
        <v>74800</v>
      </c>
      <c r="G45">
        <v>2.8</v>
      </c>
      <c r="H45">
        <v>2061</v>
      </c>
      <c r="I45">
        <v>15</v>
      </c>
      <c r="J45">
        <v>49</v>
      </c>
      <c r="K45">
        <v>1.38</v>
      </c>
      <c r="L45" t="s">
        <v>13</v>
      </c>
    </row>
    <row r="46" spans="1:12" ht="43.2" x14ac:dyDescent="0.3">
      <c r="A46" s="1" t="s">
        <v>56</v>
      </c>
      <c r="B46" s="1" t="s">
        <v>121</v>
      </c>
      <c r="C46">
        <v>8</v>
      </c>
      <c r="D46">
        <v>1.7</v>
      </c>
      <c r="E46">
        <v>2</v>
      </c>
      <c r="H46">
        <v>2023</v>
      </c>
      <c r="I46">
        <v>16</v>
      </c>
      <c r="J46">
        <v>7</v>
      </c>
      <c r="K46">
        <v>1.03</v>
      </c>
      <c r="L46" t="s">
        <v>13</v>
      </c>
    </row>
    <row r="47" spans="1:12" ht="43.2" x14ac:dyDescent="0.3">
      <c r="A47" s="1" t="s">
        <v>57</v>
      </c>
      <c r="B47" s="1" t="s">
        <v>122</v>
      </c>
      <c r="C47">
        <v>31</v>
      </c>
      <c r="D47">
        <v>8.9</v>
      </c>
      <c r="E47">
        <v>48</v>
      </c>
      <c r="F47">
        <v>9700</v>
      </c>
      <c r="G47">
        <v>4.5999999999999996</v>
      </c>
      <c r="H47">
        <v>889</v>
      </c>
      <c r="I47">
        <v>41</v>
      </c>
      <c r="J47">
        <v>11</v>
      </c>
      <c r="K47">
        <v>0.57999999999999996</v>
      </c>
      <c r="L47" t="s">
        <v>0</v>
      </c>
    </row>
    <row r="48" spans="1:12" ht="43.2" x14ac:dyDescent="0.3">
      <c r="A48" s="1" t="s">
        <v>58</v>
      </c>
      <c r="B48" s="1" t="s">
        <v>123</v>
      </c>
      <c r="C48">
        <v>92</v>
      </c>
      <c r="D48">
        <v>2.4</v>
      </c>
      <c r="E48">
        <v>8</v>
      </c>
      <c r="F48">
        <v>80900</v>
      </c>
      <c r="G48">
        <v>3.1</v>
      </c>
      <c r="H48">
        <v>2151</v>
      </c>
      <c r="I48">
        <v>12</v>
      </c>
      <c r="J48">
        <v>67</v>
      </c>
      <c r="K48">
        <v>1.23</v>
      </c>
      <c r="L48" t="s">
        <v>13</v>
      </c>
    </row>
    <row r="49" spans="1:12" ht="43.2" x14ac:dyDescent="0.3">
      <c r="A49" s="1" t="s">
        <v>59</v>
      </c>
      <c r="B49" s="1" t="s">
        <v>124</v>
      </c>
      <c r="C49">
        <v>65</v>
      </c>
      <c r="D49">
        <v>17.7</v>
      </c>
      <c r="E49">
        <v>50</v>
      </c>
      <c r="H49">
        <v>3045</v>
      </c>
      <c r="I49">
        <v>3</v>
      </c>
      <c r="J49">
        <v>8</v>
      </c>
      <c r="K49">
        <v>1.1100000000000001</v>
      </c>
      <c r="L49" t="s">
        <v>13</v>
      </c>
    </row>
    <row r="50" spans="1:12" ht="43.2" x14ac:dyDescent="0.3">
      <c r="A50" s="1" t="s">
        <v>60</v>
      </c>
      <c r="B50" s="1" t="s">
        <v>125</v>
      </c>
      <c r="C50">
        <v>536</v>
      </c>
      <c r="D50">
        <v>4.8</v>
      </c>
      <c r="E50">
        <v>35</v>
      </c>
      <c r="F50">
        <v>203200</v>
      </c>
      <c r="G50">
        <v>2.7</v>
      </c>
      <c r="H50">
        <v>2187</v>
      </c>
      <c r="I50">
        <v>10</v>
      </c>
      <c r="J50">
        <v>98</v>
      </c>
      <c r="K50">
        <v>1.36</v>
      </c>
      <c r="L50" t="s">
        <v>13</v>
      </c>
    </row>
    <row r="51" spans="1:12" ht="43.2" x14ac:dyDescent="0.3">
      <c r="A51" s="1" t="s">
        <v>61</v>
      </c>
      <c r="B51" s="1" t="s">
        <v>126</v>
      </c>
      <c r="C51">
        <v>375</v>
      </c>
      <c r="D51">
        <v>2.2999999999999998</v>
      </c>
      <c r="E51">
        <v>6</v>
      </c>
      <c r="F51">
        <v>345400</v>
      </c>
      <c r="G51">
        <v>3.5</v>
      </c>
      <c r="H51">
        <v>6422</v>
      </c>
      <c r="I51">
        <v>1</v>
      </c>
      <c r="J51">
        <v>216</v>
      </c>
      <c r="K51">
        <v>1.79</v>
      </c>
      <c r="L51" t="s">
        <v>0</v>
      </c>
    </row>
    <row r="55" spans="1:12" x14ac:dyDescent="0.3">
      <c r="A55" t="s">
        <v>62</v>
      </c>
      <c r="C55">
        <v>4628</v>
      </c>
      <c r="D55">
        <v>3.4</v>
      </c>
      <c r="G55">
        <v>3.4</v>
      </c>
    </row>
  </sheetData>
  <autoFilter ref="A1:L51" xr:uid="{7853A60F-3950-4306-BB73-382C6AB6021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DE22E-4AE9-4032-BD65-3C613D30298D}">
  <dimension ref="A1:AA51"/>
  <sheetViews>
    <sheetView workbookViewId="0">
      <selection activeCell="L1" sqref="C1:L1"/>
    </sheetView>
  </sheetViews>
  <sheetFormatPr defaultRowHeight="14.4" x14ac:dyDescent="0.3"/>
  <cols>
    <col min="1" max="2" width="43.21875" customWidth="1"/>
    <col min="3" max="3" width="25.5546875" customWidth="1"/>
    <col min="4" max="4" width="22.5546875" customWidth="1"/>
    <col min="5" max="5" width="25.5546875" customWidth="1"/>
    <col min="6" max="6" width="32.21875" customWidth="1"/>
    <col min="7" max="7" width="27" customWidth="1"/>
    <col min="8" max="8" width="28.109375" customWidth="1"/>
    <col min="9" max="9" width="24" customWidth="1"/>
    <col min="10" max="10" width="12.21875" customWidth="1"/>
    <col min="11" max="12" width="36.21875" customWidth="1"/>
    <col min="13" max="13" width="7.109375" customWidth="1"/>
    <col min="18" max="18" width="23.5546875" bestFit="1" customWidth="1"/>
    <col min="19" max="19" width="20.21875" bestFit="1" customWidth="1"/>
    <col min="20" max="20" width="23.44140625" bestFit="1" customWidth="1"/>
    <col min="21" max="21" width="30.21875" bestFit="1" customWidth="1"/>
    <col min="22" max="22" width="24.88671875" bestFit="1" customWidth="1"/>
    <col min="23" max="23" width="26" bestFit="1" customWidth="1"/>
    <col min="24" max="24" width="22.109375" bestFit="1" customWidth="1"/>
    <col min="25" max="25" width="10" bestFit="1" customWidth="1"/>
    <col min="26" max="26" width="34.33203125" bestFit="1" customWidth="1"/>
    <col min="27" max="27" width="22.33203125" bestFit="1" customWidth="1"/>
  </cols>
  <sheetData>
    <row r="1" spans="1:27" ht="18" customHeight="1" x14ac:dyDescent="0.3">
      <c r="A1" t="s">
        <v>0</v>
      </c>
      <c r="B1" t="s">
        <v>128</v>
      </c>
      <c r="C1" t="s">
        <v>1</v>
      </c>
      <c r="D1" t="s">
        <v>2</v>
      </c>
      <c r="E1" t="s">
        <v>3</v>
      </c>
      <c r="F1" t="s">
        <v>4</v>
      </c>
      <c r="G1" t="s">
        <v>5</v>
      </c>
      <c r="H1" t="s">
        <v>6</v>
      </c>
      <c r="I1" t="s">
        <v>7</v>
      </c>
      <c r="J1" t="s">
        <v>8</v>
      </c>
      <c r="K1" t="s">
        <v>9</v>
      </c>
      <c r="L1" t="s">
        <v>10</v>
      </c>
      <c r="R1" t="s">
        <v>1</v>
      </c>
      <c r="S1" t="s">
        <v>2</v>
      </c>
      <c r="T1" t="s">
        <v>3</v>
      </c>
      <c r="U1" t="s">
        <v>4</v>
      </c>
      <c r="V1" t="s">
        <v>5</v>
      </c>
      <c r="W1" t="s">
        <v>6</v>
      </c>
      <c r="X1" t="s">
        <v>7</v>
      </c>
      <c r="Y1" t="s">
        <v>8</v>
      </c>
      <c r="Z1" t="s">
        <v>9</v>
      </c>
      <c r="AA1" t="s">
        <v>10</v>
      </c>
    </row>
    <row r="2" spans="1:27" ht="38.4" customHeight="1" x14ac:dyDescent="0.3">
      <c r="A2" s="1" t="s">
        <v>11</v>
      </c>
      <c r="B2" s="1" t="s">
        <v>77</v>
      </c>
      <c r="C2">
        <v>63</v>
      </c>
      <c r="D2">
        <v>3.5</v>
      </c>
      <c r="E2">
        <v>25</v>
      </c>
      <c r="F2">
        <v>36200</v>
      </c>
      <c r="G2">
        <v>3</v>
      </c>
      <c r="H2">
        <v>492</v>
      </c>
      <c r="I2">
        <v>49</v>
      </c>
      <c r="J2">
        <v>24</v>
      </c>
      <c r="K2">
        <v>1.1100000000000001</v>
      </c>
      <c r="L2" t="s">
        <v>0</v>
      </c>
      <c r="R2" t="s">
        <v>67</v>
      </c>
      <c r="S2" s="5">
        <f>AVERAGE(Table1[Number of Fatalities, 2012])</f>
        <v>92.34</v>
      </c>
      <c r="T2" s="5">
        <f>AVERAGE(Table1[Rate of Fatalities, 2012])</f>
        <v>4.3179999999999987</v>
      </c>
      <c r="U2" s="5">
        <f>AVERAGE(Table1[State Rank, Fatalities 2012])</f>
        <v>25.1</v>
      </c>
      <c r="V2" s="5">
        <f>AVERAGE(Table1[Number of Injuries/Illnesses 2012])</f>
        <v>64178.571428571428</v>
      </c>
      <c r="W2" s="5">
        <f>AVERAGE(Table1[Injuries/Illnesses 2012 Rate])</f>
        <v>3.6261904761904757</v>
      </c>
      <c r="X2" s="5">
        <f>AVERAGE(Table1[Penalties FY 2013 (Average $)])</f>
        <v>1727.88</v>
      </c>
      <c r="Y2" s="5">
        <f>AVERAGE(Table1[Penalties FY 2013 (Rank)])</f>
        <v>25.5</v>
      </c>
      <c r="Z2" s="5">
        <f>AVERAGE(Table1[Inspectors])</f>
        <v>38.979591836734691</v>
      </c>
      <c r="AA2" s="5">
        <f>AVERAGE(Table1[Years to Inspect Each Workplace Once])</f>
        <v>1.2387999999999999</v>
      </c>
    </row>
    <row r="3" spans="1:27" ht="38.4" customHeight="1" x14ac:dyDescent="0.3">
      <c r="A3" s="1" t="s">
        <v>12</v>
      </c>
      <c r="B3" s="1" t="s">
        <v>78</v>
      </c>
      <c r="C3">
        <v>49</v>
      </c>
      <c r="D3">
        <v>6.9</v>
      </c>
      <c r="E3">
        <v>46</v>
      </c>
      <c r="F3">
        <v>19800</v>
      </c>
      <c r="G3">
        <v>4.0999999999999996</v>
      </c>
      <c r="H3">
        <v>1798</v>
      </c>
      <c r="I3">
        <v>27</v>
      </c>
      <c r="J3">
        <v>7</v>
      </c>
      <c r="K3">
        <v>1.73</v>
      </c>
      <c r="L3" t="s">
        <v>13</v>
      </c>
      <c r="R3" t="s">
        <v>68</v>
      </c>
      <c r="S3">
        <f>MEDIAN(Table1[Number of Fatalities, 2012])</f>
        <v>68.5</v>
      </c>
      <c r="T3">
        <f>MEDIAN(Table1[Rate of Fatalities, 2012])</f>
        <v>3.5</v>
      </c>
      <c r="U3">
        <f>MEDIAN(Table1[State Rank, Fatalities 2012])</f>
        <v>25</v>
      </c>
      <c r="V3">
        <f>MEDIAN(Table1[Number of Injuries/Illnesses 2012])</f>
        <v>47250</v>
      </c>
      <c r="W3">
        <f>MEDIAN(Table1[Injuries/Illnesses 2012 Rate])</f>
        <v>3.55</v>
      </c>
      <c r="X3">
        <f>MEDIAN(Table1[Penalties FY 2013 (Average $)])</f>
        <v>1812</v>
      </c>
      <c r="Y3">
        <f>MEDIAN(Table1[Penalties FY 2013 (Rank)])</f>
        <v>25.5</v>
      </c>
      <c r="Z3">
        <f>MEDIAN(Table1[Inspectors])</f>
        <v>26</v>
      </c>
      <c r="AA3">
        <f>MEDIAN(Table1[Years to Inspect Each Workplace Once])</f>
        <v>1.1150000000000002</v>
      </c>
    </row>
    <row r="4" spans="1:27" ht="38.4" customHeight="1" x14ac:dyDescent="0.3">
      <c r="A4" s="1" t="s">
        <v>14</v>
      </c>
      <c r="B4" s="1" t="s">
        <v>79</v>
      </c>
      <c r="C4">
        <v>44</v>
      </c>
      <c r="D4">
        <v>1.4</v>
      </c>
      <c r="E4">
        <v>1</v>
      </c>
      <c r="F4">
        <v>69700</v>
      </c>
      <c r="G4">
        <v>3.1</v>
      </c>
      <c r="H4">
        <v>1929</v>
      </c>
      <c r="I4">
        <v>21</v>
      </c>
      <c r="J4">
        <v>33</v>
      </c>
      <c r="K4">
        <v>1.23</v>
      </c>
      <c r="L4" t="s">
        <v>13</v>
      </c>
      <c r="R4" t="s">
        <v>69</v>
      </c>
      <c r="S4">
        <f>MODE(Table1[Number of Fatalities, 2012])</f>
        <v>63</v>
      </c>
      <c r="T4">
        <f>MODE(Table1[Rate of Fatalities, 2012])</f>
        <v>3.5</v>
      </c>
      <c r="U4">
        <f>MODE(Table1[State Rank, Fatalities 2012])</f>
        <v>25</v>
      </c>
      <c r="V4" t="e">
        <f>MODE(Table1[Number of Injuries/Illnesses 2012])</f>
        <v>#N/A</v>
      </c>
      <c r="W4">
        <f>MODE(Table1[Injuries/Illnesses 2012 Rate])</f>
        <v>3.9</v>
      </c>
      <c r="X4" t="e">
        <f>MODE(Table1[Penalties FY 2013 (Average $)])</f>
        <v>#N/A</v>
      </c>
      <c r="Y4" t="e">
        <f>MODE(Table1[Penalties FY 2013 (Rank)])</f>
        <v>#N/A</v>
      </c>
      <c r="Z4">
        <f>MODE(Table1[Inspectors])</f>
        <v>9</v>
      </c>
      <c r="AA4">
        <f>MODE(Table1[Years to Inspect Each Workplace Once])</f>
        <v>1.1100000000000001</v>
      </c>
    </row>
    <row r="5" spans="1:27" ht="38.4" customHeight="1" x14ac:dyDescent="0.3">
      <c r="A5" s="1" t="s">
        <v>15</v>
      </c>
      <c r="B5" s="1" t="s">
        <v>80</v>
      </c>
      <c r="C5">
        <v>101</v>
      </c>
      <c r="D5">
        <v>3.8</v>
      </c>
      <c r="E5">
        <v>30</v>
      </c>
      <c r="F5">
        <v>65100</v>
      </c>
      <c r="G5">
        <v>3.5</v>
      </c>
      <c r="H5">
        <v>727</v>
      </c>
      <c r="I5">
        <v>45</v>
      </c>
      <c r="J5">
        <v>30</v>
      </c>
      <c r="K5">
        <v>0.82</v>
      </c>
      <c r="L5" t="s">
        <v>0</v>
      </c>
    </row>
    <row r="6" spans="1:27" ht="38.4" customHeight="1" x14ac:dyDescent="0.3">
      <c r="A6" s="1" t="s">
        <v>16</v>
      </c>
      <c r="B6" s="1" t="s">
        <v>81</v>
      </c>
      <c r="C6">
        <v>97</v>
      </c>
      <c r="D6">
        <v>6.1</v>
      </c>
      <c r="E6">
        <v>42</v>
      </c>
      <c r="F6">
        <v>39000</v>
      </c>
      <c r="G6">
        <v>3.6</v>
      </c>
      <c r="H6">
        <v>1872</v>
      </c>
      <c r="I6">
        <v>24</v>
      </c>
      <c r="J6">
        <v>19</v>
      </c>
      <c r="K6">
        <v>1.31</v>
      </c>
      <c r="L6" t="s">
        <v>13</v>
      </c>
      <c r="R6" t="s">
        <v>70</v>
      </c>
      <c r="S6">
        <f>QUARTILE(Table1[Number of Fatalities, 2012],1)</f>
        <v>39</v>
      </c>
      <c r="T6">
        <f>QUARTILE(Table1[Rate of Fatalities, 2012],1)</f>
        <v>2.6</v>
      </c>
      <c r="U6">
        <f>QUARTILE(Table1[State Rank, Fatalities 2012],1)</f>
        <v>12</v>
      </c>
      <c r="V6">
        <f>QUARTILE(Table1[Number of Injuries/Illnesses 2012],1)</f>
        <v>26875</v>
      </c>
      <c r="W6">
        <f>QUARTILE(Table1[Injuries/Illnesses 2012 Rate],1)</f>
        <v>3.125</v>
      </c>
      <c r="X6">
        <f>QUARTILE(Table1[Penalties FY 2013 (Average $)],1)</f>
        <v>996.5</v>
      </c>
      <c r="Y6">
        <f>QUARTILE(Table1[Penalties FY 2013 (Rank)],1)</f>
        <v>13.25</v>
      </c>
      <c r="Z6">
        <f>QUARTILE(Table1[Inspectors],1)</f>
        <v>9</v>
      </c>
      <c r="AA6">
        <f>QUARTILE(Table1[Years to Inspect Each Workplace Once],1)</f>
        <v>0.85</v>
      </c>
    </row>
    <row r="7" spans="1:27" ht="38.4" customHeight="1" x14ac:dyDescent="0.3">
      <c r="A7" s="1" t="s">
        <v>17</v>
      </c>
      <c r="B7" s="1" t="s">
        <v>82</v>
      </c>
      <c r="C7">
        <v>146</v>
      </c>
      <c r="D7">
        <v>2.5</v>
      </c>
      <c r="E7">
        <v>10</v>
      </c>
      <c r="F7">
        <v>124900</v>
      </c>
      <c r="G7">
        <v>3.2</v>
      </c>
      <c r="H7">
        <v>1876</v>
      </c>
      <c r="I7">
        <v>23</v>
      </c>
      <c r="J7">
        <v>74</v>
      </c>
      <c r="K7">
        <v>1.37</v>
      </c>
      <c r="L7" t="s">
        <v>13</v>
      </c>
      <c r="R7" t="s">
        <v>71</v>
      </c>
      <c r="S7">
        <f>QUARTILE(Table1[Number of Fatalities, 2012],3)</f>
        <v>110.75</v>
      </c>
      <c r="T7">
        <f>QUARTILE(Table1[Rate of Fatalities, 2012],3)</f>
        <v>5.125</v>
      </c>
      <c r="U7">
        <f>QUARTILE(Table1[State Rank, Fatalities 2012],3)</f>
        <v>37.75</v>
      </c>
      <c r="V7">
        <f>QUARTILE(Table1[Number of Injuries/Illnesses 2012],3)</f>
        <v>75625</v>
      </c>
      <c r="W7">
        <f>QUARTILE(Table1[Injuries/Illnesses 2012 Rate],3)</f>
        <v>3.9750000000000001</v>
      </c>
      <c r="X7">
        <f>QUARTILE(Table1[Penalties FY 2013 (Average $)],3)</f>
        <v>2120.5</v>
      </c>
      <c r="Y7">
        <f>QUARTILE(Table1[Penalties FY 2013 (Rank)],3)</f>
        <v>37.75</v>
      </c>
      <c r="Z7">
        <f>QUARTILE(Table1[Inspectors],3)</f>
        <v>53</v>
      </c>
      <c r="AA7">
        <f>QUARTILE(Table1[Years to Inspect Each Workplace Once],3)</f>
        <v>1.34</v>
      </c>
    </row>
    <row r="8" spans="1:27" ht="38.4" customHeight="1" x14ac:dyDescent="0.3">
      <c r="A8" s="1" t="s">
        <v>18</v>
      </c>
      <c r="B8" s="1" t="s">
        <v>83</v>
      </c>
      <c r="C8">
        <v>48</v>
      </c>
      <c r="D8">
        <v>5.2</v>
      </c>
      <c r="E8">
        <v>38</v>
      </c>
      <c r="F8">
        <v>24300</v>
      </c>
      <c r="G8">
        <v>3.9</v>
      </c>
      <c r="H8">
        <v>2565</v>
      </c>
      <c r="I8">
        <v>5</v>
      </c>
      <c r="J8">
        <v>9</v>
      </c>
      <c r="K8">
        <v>1.28</v>
      </c>
      <c r="L8" t="s">
        <v>13</v>
      </c>
      <c r="R8" t="s">
        <v>72</v>
      </c>
      <c r="S8">
        <f>+S7-S6</f>
        <v>71.75</v>
      </c>
      <c r="T8">
        <f t="shared" ref="T8:AA8" si="0">+T7-T6</f>
        <v>2.5249999999999999</v>
      </c>
      <c r="U8">
        <f t="shared" si="0"/>
        <v>25.75</v>
      </c>
      <c r="V8">
        <f t="shared" si="0"/>
        <v>48750</v>
      </c>
      <c r="W8">
        <f t="shared" si="0"/>
        <v>0.85000000000000009</v>
      </c>
      <c r="X8">
        <f t="shared" si="0"/>
        <v>1124</v>
      </c>
      <c r="Y8">
        <f t="shared" si="0"/>
        <v>24.5</v>
      </c>
      <c r="Z8">
        <f t="shared" si="0"/>
        <v>44</v>
      </c>
      <c r="AA8">
        <f t="shared" si="0"/>
        <v>0.4900000000000001</v>
      </c>
    </row>
    <row r="9" spans="1:27" ht="38.4" customHeight="1" x14ac:dyDescent="0.3">
      <c r="A9" s="1" t="s">
        <v>19</v>
      </c>
      <c r="B9" s="1" t="s">
        <v>84</v>
      </c>
      <c r="C9">
        <v>14</v>
      </c>
      <c r="D9">
        <v>3.1</v>
      </c>
      <c r="E9">
        <v>18</v>
      </c>
      <c r="F9">
        <v>7900</v>
      </c>
      <c r="G9">
        <v>2.8</v>
      </c>
      <c r="H9">
        <v>2406</v>
      </c>
      <c r="I9">
        <v>6</v>
      </c>
      <c r="J9">
        <v>5</v>
      </c>
      <c r="K9">
        <v>1.75</v>
      </c>
      <c r="L9" t="s">
        <v>13</v>
      </c>
    </row>
    <row r="10" spans="1:27" ht="38.4" customHeight="1" x14ac:dyDescent="0.3">
      <c r="A10" s="1" t="s">
        <v>20</v>
      </c>
      <c r="B10" s="1" t="s">
        <v>85</v>
      </c>
      <c r="C10">
        <v>20</v>
      </c>
      <c r="D10">
        <v>3.4</v>
      </c>
      <c r="E10">
        <v>22</v>
      </c>
      <c r="F10">
        <v>13700</v>
      </c>
      <c r="G10">
        <v>3.8</v>
      </c>
      <c r="H10">
        <v>964</v>
      </c>
      <c r="I10">
        <v>39</v>
      </c>
      <c r="J10">
        <v>20</v>
      </c>
      <c r="K10">
        <v>0.79</v>
      </c>
      <c r="L10" t="s">
        <v>0</v>
      </c>
      <c r="R10" t="s">
        <v>73</v>
      </c>
      <c r="S10">
        <f>_xlfn.STDEV.S(Table1[Number of Fatalities, 2012])</f>
        <v>92.019875847668956</v>
      </c>
      <c r="T10">
        <f>_xlfn.STDEV.S(Table1[Rate of Fatalities, 2012])</f>
        <v>2.7885838699956667</v>
      </c>
      <c r="U10">
        <f>_xlfn.STDEV.S(Table1[State Rank, Fatalities 2012])</f>
        <v>14.733344106869581</v>
      </c>
      <c r="V10">
        <f>_xlfn.STDEV.S(Table1[Number of Injuries/Illnesses 2012])</f>
        <v>61912.808618896779</v>
      </c>
      <c r="W10">
        <f>_xlfn.STDEV.S(Table1[Injuries/Illnesses 2012 Rate])</f>
        <v>0.71774019479485784</v>
      </c>
      <c r="X10">
        <f>_xlfn.STDEV.S(Table1[Penalties FY 2013 (Average $)])</f>
        <v>963.37770243608009</v>
      </c>
      <c r="Y10">
        <f>_xlfn.STDEV.S(Table1[Penalties FY 2013 (Rank)])</f>
        <v>14.577379737113251</v>
      </c>
      <c r="Z10">
        <f>_xlfn.STDEV.S(Table1[Inspectors])</f>
        <v>38.594305385163565</v>
      </c>
      <c r="AA10">
        <f>_xlfn.STDEV.S(Table1[Years to Inspect Each Workplace Once])</f>
        <v>0.73311646762437488</v>
      </c>
    </row>
    <row r="11" spans="1:27" ht="38.4" customHeight="1" x14ac:dyDescent="0.3">
      <c r="A11" s="1" t="s">
        <v>21</v>
      </c>
      <c r="B11" s="1" t="s">
        <v>86</v>
      </c>
      <c r="C11">
        <v>97</v>
      </c>
      <c r="D11">
        <v>6.6</v>
      </c>
      <c r="E11">
        <v>44</v>
      </c>
      <c r="F11">
        <v>45600</v>
      </c>
      <c r="G11">
        <v>4.5</v>
      </c>
      <c r="H11">
        <v>790</v>
      </c>
      <c r="I11">
        <v>43</v>
      </c>
      <c r="J11">
        <v>26</v>
      </c>
      <c r="K11">
        <v>0.98</v>
      </c>
      <c r="L11" t="s">
        <v>0</v>
      </c>
      <c r="R11" t="s">
        <v>75</v>
      </c>
      <c r="S11">
        <f>COUNTIF(Table1[State or Federal Program], "State")</f>
        <v>21</v>
      </c>
    </row>
    <row r="12" spans="1:27" ht="38.4" customHeight="1" x14ac:dyDescent="0.3">
      <c r="A12" s="1" t="s">
        <v>22</v>
      </c>
      <c r="B12" s="1" t="s">
        <v>87</v>
      </c>
      <c r="C12">
        <v>60</v>
      </c>
      <c r="D12">
        <v>2.2999999999999998</v>
      </c>
      <c r="E12">
        <v>6</v>
      </c>
      <c r="F12">
        <v>54400</v>
      </c>
      <c r="G12">
        <v>3.2</v>
      </c>
      <c r="H12">
        <v>891</v>
      </c>
      <c r="I12">
        <v>40</v>
      </c>
      <c r="J12">
        <v>30</v>
      </c>
      <c r="K12">
        <v>1.26</v>
      </c>
      <c r="L12" t="s">
        <v>0</v>
      </c>
      <c r="R12" t="s">
        <v>74</v>
      </c>
      <c r="S12">
        <f>COUNTIF(Table1[State or Federal Program], "Federal")</f>
        <v>29</v>
      </c>
    </row>
    <row r="13" spans="1:27" ht="38.4" customHeight="1" x14ac:dyDescent="0.3">
      <c r="A13" s="1" t="s">
        <v>23</v>
      </c>
      <c r="B13" s="1" t="s">
        <v>88</v>
      </c>
      <c r="C13">
        <v>218</v>
      </c>
      <c r="D13">
        <v>2.7</v>
      </c>
      <c r="E13">
        <v>15</v>
      </c>
      <c r="H13">
        <v>1821</v>
      </c>
      <c r="I13">
        <v>25</v>
      </c>
      <c r="J13">
        <v>60</v>
      </c>
      <c r="K13">
        <v>2.38</v>
      </c>
      <c r="L13" t="s">
        <v>13</v>
      </c>
      <c r="R13" t="s">
        <v>76</v>
      </c>
      <c r="S13">
        <f>SUM(S11:S12)</f>
        <v>50</v>
      </c>
    </row>
    <row r="14" spans="1:27" ht="38.4" customHeight="1" x14ac:dyDescent="0.3">
      <c r="A14" s="1" t="s">
        <v>24</v>
      </c>
      <c r="B14" s="1" t="s">
        <v>89</v>
      </c>
      <c r="C14">
        <v>149</v>
      </c>
      <c r="D14">
        <v>3.8</v>
      </c>
      <c r="E14">
        <v>30</v>
      </c>
      <c r="F14">
        <v>66200</v>
      </c>
      <c r="G14">
        <v>2.7</v>
      </c>
      <c r="H14">
        <v>726</v>
      </c>
      <c r="I14">
        <v>46</v>
      </c>
      <c r="J14">
        <v>48</v>
      </c>
      <c r="K14">
        <v>0.82</v>
      </c>
      <c r="L14" t="s">
        <v>0</v>
      </c>
    </row>
    <row r="15" spans="1:27" ht="38.4" customHeight="1" x14ac:dyDescent="0.3">
      <c r="A15" s="1" t="s">
        <v>25</v>
      </c>
      <c r="B15" s="1" t="s">
        <v>90</v>
      </c>
      <c r="C15">
        <v>88</v>
      </c>
      <c r="D15">
        <v>3.3</v>
      </c>
      <c r="E15">
        <v>21</v>
      </c>
      <c r="F15">
        <v>60300</v>
      </c>
      <c r="G15">
        <v>3.3</v>
      </c>
      <c r="H15">
        <v>1931</v>
      </c>
      <c r="I15">
        <v>20</v>
      </c>
      <c r="J15">
        <v>26</v>
      </c>
      <c r="K15">
        <v>1.18</v>
      </c>
      <c r="L15" t="s">
        <v>13</v>
      </c>
    </row>
    <row r="16" spans="1:27" ht="38.4" customHeight="1" x14ac:dyDescent="0.3">
      <c r="A16" s="1" t="s">
        <v>26</v>
      </c>
      <c r="B16" s="1" t="s">
        <v>91</v>
      </c>
      <c r="C16">
        <v>137</v>
      </c>
      <c r="D16">
        <v>3.4</v>
      </c>
      <c r="E16">
        <v>22</v>
      </c>
      <c r="F16">
        <v>105500</v>
      </c>
      <c r="G16">
        <v>4</v>
      </c>
      <c r="H16">
        <v>542</v>
      </c>
      <c r="I16">
        <v>48</v>
      </c>
      <c r="J16">
        <v>63</v>
      </c>
      <c r="K16">
        <v>0.45</v>
      </c>
      <c r="L16" t="s">
        <v>0</v>
      </c>
    </row>
    <row r="17" spans="1:12" ht="38.4" customHeight="1" x14ac:dyDescent="0.3">
      <c r="A17" s="1" t="s">
        <v>27</v>
      </c>
      <c r="B17" s="1" t="s">
        <v>92</v>
      </c>
      <c r="C17">
        <v>115</v>
      </c>
      <c r="D17">
        <v>4.2</v>
      </c>
      <c r="E17">
        <v>33</v>
      </c>
      <c r="F17">
        <v>77900</v>
      </c>
      <c r="G17">
        <v>3.9</v>
      </c>
      <c r="H17">
        <v>1054</v>
      </c>
      <c r="I17">
        <v>34</v>
      </c>
      <c r="J17">
        <v>39</v>
      </c>
      <c r="K17">
        <v>1.04</v>
      </c>
      <c r="L17" t="s">
        <v>0</v>
      </c>
    </row>
    <row r="18" spans="1:12" ht="38.4" customHeight="1" x14ac:dyDescent="0.3">
      <c r="A18" s="1" t="s">
        <v>28</v>
      </c>
      <c r="B18" s="1" t="s">
        <v>93</v>
      </c>
      <c r="C18">
        <v>146</v>
      </c>
      <c r="D18">
        <v>3.5</v>
      </c>
      <c r="E18">
        <v>25</v>
      </c>
      <c r="F18">
        <v>75900</v>
      </c>
      <c r="G18">
        <v>2.9</v>
      </c>
      <c r="H18">
        <v>996</v>
      </c>
      <c r="I18">
        <v>38</v>
      </c>
      <c r="J18">
        <v>104</v>
      </c>
      <c r="K18">
        <v>0.6</v>
      </c>
      <c r="L18" t="s">
        <v>0</v>
      </c>
    </row>
    <row r="19" spans="1:12" ht="38.4" customHeight="1" x14ac:dyDescent="0.3">
      <c r="A19" s="1" t="s">
        <v>29</v>
      </c>
      <c r="B19" s="1" t="s">
        <v>94</v>
      </c>
      <c r="C19">
        <v>14</v>
      </c>
      <c r="D19">
        <v>2.2000000000000002</v>
      </c>
      <c r="E19">
        <v>4</v>
      </c>
      <c r="H19">
        <v>2243</v>
      </c>
      <c r="I19">
        <v>8</v>
      </c>
      <c r="J19">
        <v>7</v>
      </c>
      <c r="K19">
        <v>1.19</v>
      </c>
      <c r="L19" t="s">
        <v>13</v>
      </c>
    </row>
    <row r="20" spans="1:12" ht="38.4" customHeight="1" x14ac:dyDescent="0.3">
      <c r="A20" s="1" t="s">
        <v>30</v>
      </c>
      <c r="B20" s="1" t="s">
        <v>95</v>
      </c>
      <c r="C20">
        <v>39</v>
      </c>
      <c r="D20">
        <v>4.8</v>
      </c>
      <c r="E20">
        <v>35</v>
      </c>
      <c r="F20">
        <v>19900</v>
      </c>
      <c r="G20">
        <v>3.9</v>
      </c>
      <c r="H20">
        <v>998</v>
      </c>
      <c r="I20">
        <v>37</v>
      </c>
      <c r="J20">
        <v>9</v>
      </c>
      <c r="K20">
        <v>1.91</v>
      </c>
      <c r="L20" t="s">
        <v>0</v>
      </c>
    </row>
    <row r="21" spans="1:12" ht="38.4" customHeight="1" x14ac:dyDescent="0.3">
      <c r="A21" s="1" t="s">
        <v>31</v>
      </c>
      <c r="B21" s="1" t="s">
        <v>96</v>
      </c>
      <c r="C21">
        <v>194</v>
      </c>
      <c r="D21">
        <v>3.4</v>
      </c>
      <c r="E21">
        <v>22</v>
      </c>
      <c r="F21">
        <v>155300</v>
      </c>
      <c r="G21">
        <v>3.9</v>
      </c>
      <c r="H21">
        <v>1916</v>
      </c>
      <c r="I21">
        <v>22</v>
      </c>
      <c r="J21">
        <v>57</v>
      </c>
      <c r="K21">
        <v>1.25</v>
      </c>
      <c r="L21" t="s">
        <v>13</v>
      </c>
    </row>
    <row r="22" spans="1:12" ht="38.4" customHeight="1" x14ac:dyDescent="0.3">
      <c r="A22" s="1" t="s">
        <v>32</v>
      </c>
      <c r="B22" s="1" t="s">
        <v>97</v>
      </c>
      <c r="C22">
        <v>31</v>
      </c>
      <c r="D22">
        <v>6.7</v>
      </c>
      <c r="E22">
        <v>45</v>
      </c>
      <c r="H22">
        <v>2346</v>
      </c>
      <c r="I22">
        <v>7</v>
      </c>
      <c r="K22">
        <v>5.21</v>
      </c>
      <c r="L22" t="s">
        <v>13</v>
      </c>
    </row>
    <row r="23" spans="1:12" ht="38.4" customHeight="1" x14ac:dyDescent="0.3">
      <c r="A23" s="1" t="s">
        <v>33</v>
      </c>
      <c r="B23" s="1" t="s">
        <v>98</v>
      </c>
      <c r="C23">
        <v>202</v>
      </c>
      <c r="D23">
        <v>2.4</v>
      </c>
      <c r="E23">
        <v>8</v>
      </c>
      <c r="F23">
        <v>146300</v>
      </c>
      <c r="G23">
        <v>2.5</v>
      </c>
      <c r="H23">
        <v>2016</v>
      </c>
      <c r="I23">
        <v>17</v>
      </c>
      <c r="J23">
        <v>105</v>
      </c>
      <c r="K23">
        <v>1.84</v>
      </c>
      <c r="L23" t="s">
        <v>13</v>
      </c>
    </row>
    <row r="24" spans="1:12" ht="38.4" customHeight="1" x14ac:dyDescent="0.3">
      <c r="A24" s="1" t="s">
        <v>34</v>
      </c>
      <c r="B24" s="1" t="s">
        <v>99</v>
      </c>
      <c r="C24">
        <v>39</v>
      </c>
      <c r="D24">
        <v>3</v>
      </c>
      <c r="E24">
        <v>17</v>
      </c>
      <c r="F24">
        <v>27700</v>
      </c>
      <c r="G24">
        <v>3.4</v>
      </c>
      <c r="H24">
        <v>1053</v>
      </c>
      <c r="I24">
        <v>35</v>
      </c>
      <c r="J24">
        <v>22</v>
      </c>
      <c r="K24">
        <v>0.81</v>
      </c>
      <c r="L24" t="s">
        <v>0</v>
      </c>
    </row>
    <row r="25" spans="1:12" ht="38.4" customHeight="1" x14ac:dyDescent="0.3">
      <c r="A25" s="1" t="s">
        <v>35</v>
      </c>
      <c r="B25" s="1" t="s">
        <v>100</v>
      </c>
      <c r="C25">
        <v>19</v>
      </c>
      <c r="D25">
        <v>3.2</v>
      </c>
      <c r="E25">
        <v>20</v>
      </c>
      <c r="F25">
        <v>21200</v>
      </c>
      <c r="G25">
        <v>5.6</v>
      </c>
      <c r="H25">
        <v>2083</v>
      </c>
      <c r="I25">
        <v>14</v>
      </c>
      <c r="J25">
        <v>8</v>
      </c>
      <c r="K25">
        <v>0.8</v>
      </c>
      <c r="L25" t="s">
        <v>13</v>
      </c>
    </row>
    <row r="26" spans="1:12" ht="38.4" customHeight="1" x14ac:dyDescent="0.3">
      <c r="A26" s="1" t="s">
        <v>36</v>
      </c>
      <c r="B26" s="1" t="s">
        <v>101</v>
      </c>
      <c r="C26">
        <v>34</v>
      </c>
      <c r="D26">
        <v>7.3</v>
      </c>
      <c r="E26">
        <v>47</v>
      </c>
      <c r="F26">
        <v>13300</v>
      </c>
      <c r="G26">
        <v>5</v>
      </c>
      <c r="H26">
        <v>1983</v>
      </c>
      <c r="I26">
        <v>18</v>
      </c>
      <c r="J26">
        <v>7</v>
      </c>
      <c r="K26">
        <v>1.35</v>
      </c>
      <c r="L26" t="s">
        <v>13</v>
      </c>
    </row>
    <row r="27" spans="1:12" ht="38.4" customHeight="1" x14ac:dyDescent="0.3">
      <c r="A27" s="1" t="s">
        <v>37</v>
      </c>
      <c r="B27" s="1" t="s">
        <v>102</v>
      </c>
      <c r="C27">
        <v>11</v>
      </c>
      <c r="D27">
        <v>3.5</v>
      </c>
      <c r="E27">
        <v>25</v>
      </c>
      <c r="F27">
        <v>9900</v>
      </c>
      <c r="G27">
        <v>5</v>
      </c>
      <c r="H27">
        <v>1008</v>
      </c>
      <c r="I27">
        <v>36</v>
      </c>
      <c r="J27">
        <v>9</v>
      </c>
      <c r="K27">
        <v>0.68</v>
      </c>
      <c r="L27" t="s">
        <v>0</v>
      </c>
    </row>
    <row r="28" spans="1:12" ht="38.4" customHeight="1" x14ac:dyDescent="0.3">
      <c r="A28" s="1" t="s">
        <v>38</v>
      </c>
      <c r="B28" s="1" t="s">
        <v>103</v>
      </c>
      <c r="C28">
        <v>63</v>
      </c>
      <c r="D28">
        <v>5.4</v>
      </c>
      <c r="E28">
        <v>39</v>
      </c>
      <c r="F28">
        <v>26600</v>
      </c>
      <c r="G28">
        <v>3.2</v>
      </c>
      <c r="H28">
        <v>2569</v>
      </c>
      <c r="I28">
        <v>4</v>
      </c>
      <c r="J28">
        <v>9</v>
      </c>
      <c r="K28">
        <v>2.37</v>
      </c>
      <c r="L28" t="s">
        <v>13</v>
      </c>
    </row>
    <row r="29" spans="1:12" ht="38.4" customHeight="1" x14ac:dyDescent="0.3">
      <c r="A29" s="1" t="s">
        <v>39</v>
      </c>
      <c r="B29" s="1" t="s">
        <v>104</v>
      </c>
      <c r="C29">
        <v>42</v>
      </c>
      <c r="D29">
        <v>3.6</v>
      </c>
      <c r="E29">
        <v>29</v>
      </c>
      <c r="F29">
        <v>32400</v>
      </c>
      <c r="G29">
        <v>4.0999999999999996</v>
      </c>
      <c r="H29">
        <v>2133</v>
      </c>
      <c r="I29">
        <v>13</v>
      </c>
      <c r="J29">
        <v>44</v>
      </c>
      <c r="K29">
        <v>0.49</v>
      </c>
      <c r="L29" t="s">
        <v>0</v>
      </c>
    </row>
    <row r="30" spans="1:12" ht="38.4" customHeight="1" x14ac:dyDescent="0.3">
      <c r="A30" s="1" t="s">
        <v>40</v>
      </c>
      <c r="B30" s="1" t="s">
        <v>105</v>
      </c>
      <c r="C30">
        <v>91</v>
      </c>
      <c r="D30">
        <v>4.9000000000000004</v>
      </c>
      <c r="E30">
        <v>37</v>
      </c>
      <c r="F30">
        <v>48900</v>
      </c>
      <c r="G30">
        <v>4.0999999999999996</v>
      </c>
      <c r="H30">
        <v>3254</v>
      </c>
      <c r="I30">
        <v>2</v>
      </c>
      <c r="J30">
        <v>39</v>
      </c>
      <c r="K30">
        <v>1.24</v>
      </c>
      <c r="L30" t="s">
        <v>0</v>
      </c>
    </row>
    <row r="31" spans="1:12" ht="38.4" customHeight="1" x14ac:dyDescent="0.3">
      <c r="A31" s="1" t="s">
        <v>41</v>
      </c>
      <c r="B31" s="1" t="s">
        <v>106</v>
      </c>
      <c r="C31">
        <v>72</v>
      </c>
      <c r="D31">
        <v>2.6</v>
      </c>
      <c r="E31">
        <v>12</v>
      </c>
      <c r="F31">
        <v>51900</v>
      </c>
      <c r="G31">
        <v>3.1</v>
      </c>
      <c r="H31">
        <v>685</v>
      </c>
      <c r="I31">
        <v>47</v>
      </c>
      <c r="J31">
        <v>48</v>
      </c>
      <c r="K31">
        <v>1.08</v>
      </c>
      <c r="L31" t="s">
        <v>0</v>
      </c>
    </row>
    <row r="32" spans="1:12" ht="38.4" customHeight="1" x14ac:dyDescent="0.3">
      <c r="A32" s="1" t="s">
        <v>42</v>
      </c>
      <c r="B32" s="1" t="s">
        <v>107</v>
      </c>
      <c r="C32">
        <v>84</v>
      </c>
      <c r="D32">
        <v>4.3</v>
      </c>
      <c r="E32">
        <v>34</v>
      </c>
      <c r="F32">
        <v>41200</v>
      </c>
      <c r="G32">
        <v>3.3</v>
      </c>
      <c r="H32">
        <v>1803</v>
      </c>
      <c r="I32">
        <v>26</v>
      </c>
      <c r="J32">
        <v>24</v>
      </c>
      <c r="K32">
        <v>0.94</v>
      </c>
      <c r="L32" t="s">
        <v>13</v>
      </c>
    </row>
    <row r="33" spans="1:12" ht="38.4" customHeight="1" x14ac:dyDescent="0.3">
      <c r="A33" s="1" t="s">
        <v>43</v>
      </c>
      <c r="B33" s="1" t="s">
        <v>108</v>
      </c>
      <c r="C33">
        <v>36</v>
      </c>
      <c r="D33">
        <v>2.1</v>
      </c>
      <c r="E33">
        <v>3</v>
      </c>
      <c r="F33">
        <v>43800</v>
      </c>
      <c r="G33">
        <v>3.9</v>
      </c>
      <c r="H33">
        <v>1735</v>
      </c>
      <c r="I33">
        <v>30</v>
      </c>
      <c r="J33">
        <v>24</v>
      </c>
      <c r="K33">
        <v>1.07</v>
      </c>
      <c r="L33" t="s">
        <v>13</v>
      </c>
    </row>
    <row r="34" spans="1:12" ht="38.4" customHeight="1" x14ac:dyDescent="0.3">
      <c r="A34" s="1" t="s">
        <v>44</v>
      </c>
      <c r="B34" s="1" t="s">
        <v>109</v>
      </c>
      <c r="C34">
        <v>43</v>
      </c>
      <c r="D34">
        <v>2.6</v>
      </c>
      <c r="E34">
        <v>12</v>
      </c>
      <c r="F34">
        <v>42900</v>
      </c>
      <c r="G34">
        <v>3.9</v>
      </c>
      <c r="H34">
        <v>363</v>
      </c>
      <c r="I34">
        <v>50</v>
      </c>
      <c r="J34">
        <v>75</v>
      </c>
      <c r="K34">
        <v>0.31</v>
      </c>
      <c r="L34" t="s">
        <v>0</v>
      </c>
    </row>
    <row r="35" spans="1:12" ht="38.4" customHeight="1" x14ac:dyDescent="0.3">
      <c r="A35" s="1" t="s">
        <v>45</v>
      </c>
      <c r="B35" s="1" t="s">
        <v>110</v>
      </c>
      <c r="C35">
        <v>82</v>
      </c>
      <c r="D35">
        <v>3.5</v>
      </c>
      <c r="E35">
        <v>25</v>
      </c>
      <c r="H35">
        <v>1649</v>
      </c>
      <c r="I35">
        <v>31</v>
      </c>
      <c r="J35">
        <v>28</v>
      </c>
      <c r="K35">
        <v>1.22</v>
      </c>
      <c r="L35" t="s">
        <v>13</v>
      </c>
    </row>
    <row r="36" spans="1:12" ht="38.4" customHeight="1" x14ac:dyDescent="0.3">
      <c r="A36" s="1" t="s">
        <v>46</v>
      </c>
      <c r="B36" s="1" t="s">
        <v>111</v>
      </c>
      <c r="C36">
        <v>161</v>
      </c>
      <c r="D36">
        <v>3.1</v>
      </c>
      <c r="E36">
        <v>18</v>
      </c>
      <c r="F36">
        <v>113600</v>
      </c>
      <c r="G36">
        <v>3.2</v>
      </c>
      <c r="H36">
        <v>2156</v>
      </c>
      <c r="I36">
        <v>11</v>
      </c>
      <c r="J36">
        <v>53</v>
      </c>
      <c r="K36">
        <v>1.1200000000000001</v>
      </c>
      <c r="L36" t="s">
        <v>13</v>
      </c>
    </row>
    <row r="37" spans="1:12" ht="38.4" customHeight="1" x14ac:dyDescent="0.3">
      <c r="A37" s="1" t="s">
        <v>47</v>
      </c>
      <c r="B37" s="1" t="s">
        <v>112</v>
      </c>
      <c r="C37">
        <v>35</v>
      </c>
      <c r="D37">
        <v>12.2</v>
      </c>
      <c r="E37">
        <v>49</v>
      </c>
      <c r="F37">
        <v>6500</v>
      </c>
      <c r="G37">
        <v>3.5</v>
      </c>
      <c r="H37">
        <v>1777</v>
      </c>
      <c r="I37">
        <v>28</v>
      </c>
      <c r="J37">
        <v>9</v>
      </c>
      <c r="K37">
        <v>1.01</v>
      </c>
      <c r="L37" t="s">
        <v>0</v>
      </c>
    </row>
    <row r="38" spans="1:12" ht="38.4" customHeight="1" x14ac:dyDescent="0.3">
      <c r="A38" s="1" t="s">
        <v>48</v>
      </c>
      <c r="B38" s="1" t="s">
        <v>113</v>
      </c>
      <c r="C38">
        <v>70</v>
      </c>
      <c r="D38">
        <v>2.6</v>
      </c>
      <c r="E38">
        <v>12</v>
      </c>
      <c r="F38">
        <v>67500</v>
      </c>
      <c r="G38">
        <v>3.8</v>
      </c>
      <c r="H38">
        <v>768</v>
      </c>
      <c r="I38">
        <v>44</v>
      </c>
      <c r="J38">
        <v>58</v>
      </c>
      <c r="K38">
        <v>0.56999999999999995</v>
      </c>
      <c r="L38" t="s">
        <v>0</v>
      </c>
    </row>
    <row r="39" spans="1:12" ht="38.4" customHeight="1" x14ac:dyDescent="0.3">
      <c r="A39" s="1" t="s">
        <v>49</v>
      </c>
      <c r="B39" s="1" t="s">
        <v>114</v>
      </c>
      <c r="C39">
        <v>76</v>
      </c>
      <c r="D39">
        <v>5.7</v>
      </c>
      <c r="E39">
        <v>41</v>
      </c>
      <c r="F39">
        <v>33400</v>
      </c>
      <c r="G39">
        <v>3.6</v>
      </c>
      <c r="H39">
        <v>1971</v>
      </c>
      <c r="I39">
        <v>19</v>
      </c>
      <c r="J39">
        <v>16</v>
      </c>
      <c r="K39">
        <v>1.1000000000000001</v>
      </c>
      <c r="L39" t="s">
        <v>13</v>
      </c>
    </row>
    <row r="40" spans="1:12" ht="38.4" customHeight="1" x14ac:dyDescent="0.3">
      <c r="A40" s="1" t="s">
        <v>50</v>
      </c>
      <c r="B40" s="1" t="s">
        <v>115</v>
      </c>
      <c r="C40">
        <v>19</v>
      </c>
      <c r="D40">
        <v>2.7</v>
      </c>
      <c r="E40">
        <v>15</v>
      </c>
      <c r="H40">
        <v>1449</v>
      </c>
      <c r="I40">
        <v>33</v>
      </c>
      <c r="J40">
        <v>9</v>
      </c>
      <c r="K40">
        <v>1.08</v>
      </c>
      <c r="L40" t="s">
        <v>13</v>
      </c>
    </row>
    <row r="41" spans="1:12" ht="38.4" customHeight="1" x14ac:dyDescent="0.3">
      <c r="A41" s="1" t="s">
        <v>51</v>
      </c>
      <c r="B41" s="1" t="s">
        <v>116</v>
      </c>
      <c r="C41">
        <v>67</v>
      </c>
      <c r="D41">
        <v>2.2000000000000002</v>
      </c>
      <c r="E41">
        <v>4</v>
      </c>
      <c r="F41">
        <v>89300</v>
      </c>
      <c r="G41">
        <v>4.8</v>
      </c>
      <c r="H41">
        <v>791</v>
      </c>
      <c r="I41">
        <v>42</v>
      </c>
      <c r="J41">
        <v>111</v>
      </c>
      <c r="K41">
        <v>0.5</v>
      </c>
      <c r="L41" t="s">
        <v>0</v>
      </c>
    </row>
    <row r="42" spans="1:12" ht="38.4" customHeight="1" x14ac:dyDescent="0.3">
      <c r="A42" s="1" t="s">
        <v>52</v>
      </c>
      <c r="B42" s="1" t="s">
        <v>117</v>
      </c>
      <c r="C42">
        <v>114</v>
      </c>
      <c r="D42">
        <v>4</v>
      </c>
      <c r="E42">
        <v>32</v>
      </c>
      <c r="F42">
        <v>72900</v>
      </c>
      <c r="G42">
        <v>4</v>
      </c>
      <c r="H42">
        <v>2207</v>
      </c>
      <c r="I42">
        <v>9</v>
      </c>
      <c r="J42">
        <v>36</v>
      </c>
      <c r="K42">
        <v>1.04</v>
      </c>
      <c r="L42" t="s">
        <v>13</v>
      </c>
    </row>
    <row r="43" spans="1:12" ht="38.4" customHeight="1" x14ac:dyDescent="0.3">
      <c r="A43" s="1" t="s">
        <v>53</v>
      </c>
      <c r="B43" s="1" t="s">
        <v>118</v>
      </c>
      <c r="C43">
        <v>63</v>
      </c>
      <c r="D43">
        <v>5.5</v>
      </c>
      <c r="E43">
        <v>40</v>
      </c>
      <c r="H43">
        <v>1515</v>
      </c>
      <c r="I43">
        <v>32</v>
      </c>
      <c r="J43">
        <v>14</v>
      </c>
      <c r="K43">
        <v>1.1200000000000001</v>
      </c>
      <c r="L43" t="s">
        <v>13</v>
      </c>
    </row>
    <row r="44" spans="1:12" ht="38.4" customHeight="1" x14ac:dyDescent="0.3">
      <c r="A44" s="1" t="s">
        <v>54</v>
      </c>
      <c r="B44" s="1" t="s">
        <v>119</v>
      </c>
      <c r="C44">
        <v>116</v>
      </c>
      <c r="D44">
        <v>6.4</v>
      </c>
      <c r="E44">
        <v>43</v>
      </c>
      <c r="F44">
        <v>30600</v>
      </c>
      <c r="G44">
        <v>2.2999999999999998</v>
      </c>
      <c r="H44">
        <v>1765</v>
      </c>
      <c r="I44">
        <v>29</v>
      </c>
      <c r="J44">
        <v>16</v>
      </c>
      <c r="K44">
        <v>2.06</v>
      </c>
      <c r="L44" t="s">
        <v>13</v>
      </c>
    </row>
    <row r="45" spans="1:12" ht="38.4" customHeight="1" x14ac:dyDescent="0.3">
      <c r="A45" s="1" t="s">
        <v>55</v>
      </c>
      <c r="B45" s="1" t="s">
        <v>120</v>
      </c>
      <c r="C45">
        <v>101</v>
      </c>
      <c r="D45">
        <v>2.5</v>
      </c>
      <c r="E45">
        <v>10</v>
      </c>
      <c r="F45">
        <v>74800</v>
      </c>
      <c r="G45">
        <v>2.8</v>
      </c>
      <c r="H45">
        <v>2061</v>
      </c>
      <c r="I45">
        <v>15</v>
      </c>
      <c r="J45">
        <v>49</v>
      </c>
      <c r="K45">
        <v>1.38</v>
      </c>
      <c r="L45" t="s">
        <v>13</v>
      </c>
    </row>
    <row r="46" spans="1:12" ht="38.4" customHeight="1" x14ac:dyDescent="0.3">
      <c r="A46" s="1" t="s">
        <v>56</v>
      </c>
      <c r="B46" s="1" t="s">
        <v>121</v>
      </c>
      <c r="C46">
        <v>8</v>
      </c>
      <c r="D46">
        <v>1.7</v>
      </c>
      <c r="E46">
        <v>2</v>
      </c>
      <c r="H46">
        <v>2023</v>
      </c>
      <c r="I46">
        <v>16</v>
      </c>
      <c r="J46">
        <v>7</v>
      </c>
      <c r="K46">
        <v>1.03</v>
      </c>
      <c r="L46" t="s">
        <v>13</v>
      </c>
    </row>
    <row r="47" spans="1:12" ht="38.4" customHeight="1" x14ac:dyDescent="0.3">
      <c r="A47" s="1" t="s">
        <v>57</v>
      </c>
      <c r="B47" s="1" t="s">
        <v>122</v>
      </c>
      <c r="C47">
        <v>31</v>
      </c>
      <c r="D47">
        <v>8.9</v>
      </c>
      <c r="E47">
        <v>48</v>
      </c>
      <c r="F47">
        <v>9700</v>
      </c>
      <c r="G47">
        <v>4.5999999999999996</v>
      </c>
      <c r="H47">
        <v>889</v>
      </c>
      <c r="I47">
        <v>41</v>
      </c>
      <c r="J47">
        <v>11</v>
      </c>
      <c r="K47">
        <v>0.57999999999999996</v>
      </c>
      <c r="L47" t="s">
        <v>0</v>
      </c>
    </row>
    <row r="48" spans="1:12" ht="38.4" customHeight="1" x14ac:dyDescent="0.3">
      <c r="A48" s="1" t="s">
        <v>58</v>
      </c>
      <c r="B48" s="1" t="s">
        <v>123</v>
      </c>
      <c r="C48">
        <v>92</v>
      </c>
      <c r="D48">
        <v>2.4</v>
      </c>
      <c r="E48">
        <v>8</v>
      </c>
      <c r="F48">
        <v>80900</v>
      </c>
      <c r="G48">
        <v>3.1</v>
      </c>
      <c r="H48">
        <v>2151</v>
      </c>
      <c r="I48">
        <v>12</v>
      </c>
      <c r="J48">
        <v>67</v>
      </c>
      <c r="K48">
        <v>1.23</v>
      </c>
      <c r="L48" t="s">
        <v>13</v>
      </c>
    </row>
    <row r="49" spans="1:12" ht="38.4" customHeight="1" x14ac:dyDescent="0.3">
      <c r="A49" s="1" t="s">
        <v>59</v>
      </c>
      <c r="B49" s="1" t="s">
        <v>124</v>
      </c>
      <c r="C49">
        <v>65</v>
      </c>
      <c r="D49">
        <v>17.7</v>
      </c>
      <c r="E49">
        <v>50</v>
      </c>
      <c r="H49">
        <v>3045</v>
      </c>
      <c r="I49">
        <v>3</v>
      </c>
      <c r="J49">
        <v>8</v>
      </c>
      <c r="K49">
        <v>1.1100000000000001</v>
      </c>
      <c r="L49" t="s">
        <v>13</v>
      </c>
    </row>
    <row r="50" spans="1:12" ht="38.4" customHeight="1" x14ac:dyDescent="0.3">
      <c r="A50" s="1" t="s">
        <v>60</v>
      </c>
      <c r="B50" s="1" t="s">
        <v>125</v>
      </c>
      <c r="C50">
        <v>536</v>
      </c>
      <c r="D50">
        <v>4.8</v>
      </c>
      <c r="E50">
        <v>35</v>
      </c>
      <c r="F50">
        <v>203200</v>
      </c>
      <c r="G50">
        <v>2.7</v>
      </c>
      <c r="H50">
        <v>2187</v>
      </c>
      <c r="I50">
        <v>10</v>
      </c>
      <c r="J50">
        <v>98</v>
      </c>
      <c r="K50">
        <v>1.36</v>
      </c>
      <c r="L50" t="s">
        <v>13</v>
      </c>
    </row>
    <row r="51" spans="1:12" ht="38.4" customHeight="1" x14ac:dyDescent="0.3">
      <c r="A51" s="1" t="s">
        <v>61</v>
      </c>
      <c r="B51" s="1" t="s">
        <v>126</v>
      </c>
      <c r="C51">
        <v>375</v>
      </c>
      <c r="D51">
        <v>2.2999999999999998</v>
      </c>
      <c r="E51">
        <v>6</v>
      </c>
      <c r="F51">
        <v>345400</v>
      </c>
      <c r="G51">
        <v>3.5</v>
      </c>
      <c r="H51">
        <v>6422</v>
      </c>
      <c r="I51">
        <v>1</v>
      </c>
      <c r="J51">
        <v>216</v>
      </c>
      <c r="K51">
        <v>1.79</v>
      </c>
      <c r="L51" t="s">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2FFDE-A685-45C3-B76A-85FDF1EE1359}">
  <dimension ref="A1:L89"/>
  <sheetViews>
    <sheetView topLeftCell="A69" workbookViewId="0">
      <selection activeCell="D55" sqref="D55"/>
    </sheetView>
  </sheetViews>
  <sheetFormatPr defaultRowHeight="14.4" x14ac:dyDescent="0.3"/>
  <cols>
    <col min="1" max="1" width="26.88671875" customWidth="1"/>
    <col min="2" max="2" width="13.33203125" customWidth="1"/>
    <col min="3" max="3" width="22" customWidth="1"/>
    <col min="4" max="4" width="23.77734375" customWidth="1"/>
    <col min="5" max="5" width="24.109375" customWidth="1"/>
    <col min="6" max="6" width="29.88671875" customWidth="1"/>
    <col min="7" max="7" width="26.77734375" customWidth="1"/>
    <col min="8" max="8" width="27.44140625" customWidth="1"/>
    <col min="9" max="9" width="23.44140625" customWidth="1"/>
    <col min="10" max="10" width="32.33203125" customWidth="1"/>
    <col min="11" max="11" width="34.77734375" customWidth="1"/>
    <col min="12" max="12" width="24.21875" customWidth="1"/>
    <col min="13" max="13" width="41.88671875" customWidth="1"/>
    <col min="14" max="14" width="24.5546875" bestFit="1" customWidth="1"/>
  </cols>
  <sheetData>
    <row r="1" spans="1:12" s="18" customFormat="1" ht="28.8" x14ac:dyDescent="0.3">
      <c r="A1" s="18" t="s">
        <v>128</v>
      </c>
      <c r="B1" s="18" t="s">
        <v>134</v>
      </c>
      <c r="C1" s="18" t="s">
        <v>1</v>
      </c>
      <c r="D1" s="18" t="s">
        <v>2</v>
      </c>
      <c r="E1" s="18" t="s">
        <v>3</v>
      </c>
      <c r="F1" s="18" t="s">
        <v>4</v>
      </c>
      <c r="G1" s="18" t="s">
        <v>5</v>
      </c>
      <c r="H1" s="18" t="s">
        <v>6</v>
      </c>
      <c r="I1" s="18" t="s">
        <v>7</v>
      </c>
      <c r="J1" s="18" t="s">
        <v>8</v>
      </c>
      <c r="K1" s="18" t="s">
        <v>9</v>
      </c>
      <c r="L1" s="18" t="s">
        <v>10</v>
      </c>
    </row>
    <row r="2" spans="1:12" s="13" customFormat="1" x14ac:dyDescent="0.3">
      <c r="A2" s="13" t="s">
        <v>77</v>
      </c>
      <c r="B2" s="13" t="str">
        <f>VLOOKUP(A2,'US Census Bureau Regions'!A:D,3,FALSE)</f>
        <v>South</v>
      </c>
      <c r="C2" s="13">
        <v>63</v>
      </c>
      <c r="D2" s="13">
        <v>3.5</v>
      </c>
      <c r="E2" s="13">
        <v>25</v>
      </c>
      <c r="F2" s="13">
        <v>36200</v>
      </c>
      <c r="G2" s="13">
        <v>3</v>
      </c>
      <c r="H2" s="13">
        <v>492</v>
      </c>
      <c r="I2" s="13">
        <v>49</v>
      </c>
      <c r="J2" s="13">
        <v>24</v>
      </c>
      <c r="K2" s="13">
        <v>1.1100000000000001</v>
      </c>
      <c r="L2" s="13" t="s">
        <v>0</v>
      </c>
    </row>
    <row r="3" spans="1:12" s="13" customFormat="1" x14ac:dyDescent="0.3">
      <c r="A3" s="13" t="s">
        <v>78</v>
      </c>
      <c r="B3" s="13" t="str">
        <f>VLOOKUP(A3,'US Census Bureau Regions'!A:D,3,FALSE)</f>
        <v>South</v>
      </c>
      <c r="C3" s="13">
        <v>49</v>
      </c>
      <c r="D3" s="13">
        <v>6.9</v>
      </c>
      <c r="E3" s="13">
        <v>46</v>
      </c>
      <c r="F3" s="13">
        <v>19800</v>
      </c>
      <c r="G3" s="13">
        <v>4.0999999999999996</v>
      </c>
      <c r="H3" s="13">
        <v>1798</v>
      </c>
      <c r="I3" s="13">
        <v>27</v>
      </c>
      <c r="J3" s="13">
        <v>7</v>
      </c>
      <c r="K3" s="13">
        <v>1.73</v>
      </c>
      <c r="L3" s="13" t="s">
        <v>13</v>
      </c>
    </row>
    <row r="4" spans="1:12" s="13" customFormat="1" x14ac:dyDescent="0.3">
      <c r="A4" s="13" t="s">
        <v>79</v>
      </c>
      <c r="B4" s="13" t="str">
        <f>VLOOKUP(A4,'US Census Bureau Regions'!A:D,3,FALSE)</f>
        <v>Northeast</v>
      </c>
      <c r="C4" s="13">
        <v>44</v>
      </c>
      <c r="D4" s="13">
        <v>1.4</v>
      </c>
      <c r="E4" s="13">
        <v>1</v>
      </c>
      <c r="F4" s="13">
        <v>69700</v>
      </c>
      <c r="G4" s="13">
        <v>3.1</v>
      </c>
      <c r="H4" s="13">
        <v>1929</v>
      </c>
      <c r="I4" s="13">
        <v>21</v>
      </c>
      <c r="J4" s="13">
        <v>33</v>
      </c>
      <c r="K4" s="13">
        <v>1.23</v>
      </c>
      <c r="L4" s="13" t="s">
        <v>13</v>
      </c>
    </row>
    <row r="5" spans="1:12" s="13" customFormat="1" x14ac:dyDescent="0.3">
      <c r="A5" s="13" t="s">
        <v>80</v>
      </c>
      <c r="B5" s="13" t="str">
        <f>VLOOKUP(A5,'US Census Bureau Regions'!A:D,3,FALSE)</f>
        <v>South</v>
      </c>
      <c r="C5" s="13">
        <v>101</v>
      </c>
      <c r="D5" s="13">
        <v>3.8</v>
      </c>
      <c r="E5" s="13">
        <v>30</v>
      </c>
      <c r="F5" s="13">
        <v>65100</v>
      </c>
      <c r="G5" s="13">
        <v>3.5</v>
      </c>
      <c r="H5" s="13">
        <v>727</v>
      </c>
      <c r="I5" s="13">
        <v>45</v>
      </c>
      <c r="J5" s="13">
        <v>30</v>
      </c>
      <c r="K5" s="13">
        <v>0.82</v>
      </c>
      <c r="L5" s="13" t="s">
        <v>0</v>
      </c>
    </row>
    <row r="6" spans="1:12" s="13" customFormat="1" x14ac:dyDescent="0.3">
      <c r="A6" s="13" t="s">
        <v>81</v>
      </c>
      <c r="B6" s="13" t="str">
        <f>VLOOKUP(A6,'US Census Bureau Regions'!A:D,3,FALSE)</f>
        <v>South</v>
      </c>
      <c r="C6" s="13">
        <v>97</v>
      </c>
      <c r="D6" s="13">
        <v>6.1</v>
      </c>
      <c r="E6" s="13">
        <v>42</v>
      </c>
      <c r="F6" s="13">
        <v>39000</v>
      </c>
      <c r="G6" s="13">
        <v>3.6</v>
      </c>
      <c r="H6" s="13">
        <v>1872</v>
      </c>
      <c r="I6" s="13">
        <v>24</v>
      </c>
      <c r="J6" s="13">
        <v>19</v>
      </c>
      <c r="K6" s="13">
        <v>1.31</v>
      </c>
      <c r="L6" s="13" t="s">
        <v>13</v>
      </c>
    </row>
    <row r="7" spans="1:12" s="13" customFormat="1" x14ac:dyDescent="0.3">
      <c r="A7" s="13" t="s">
        <v>82</v>
      </c>
      <c r="B7" s="13" t="str">
        <f>VLOOKUP(A7,'US Census Bureau Regions'!A:D,3,FALSE)</f>
        <v>Midwest</v>
      </c>
      <c r="C7" s="13">
        <v>146</v>
      </c>
      <c r="D7" s="13">
        <v>2.5</v>
      </c>
      <c r="E7" s="13">
        <v>10</v>
      </c>
      <c r="F7" s="13">
        <v>124900</v>
      </c>
      <c r="G7" s="13">
        <v>3.2</v>
      </c>
      <c r="H7" s="13">
        <v>1876</v>
      </c>
      <c r="I7" s="13">
        <v>23</v>
      </c>
      <c r="J7" s="13">
        <v>74</v>
      </c>
      <c r="K7" s="13">
        <v>1.37</v>
      </c>
      <c r="L7" s="13" t="s">
        <v>13</v>
      </c>
    </row>
    <row r="8" spans="1:12" s="13" customFormat="1" x14ac:dyDescent="0.3">
      <c r="A8" s="13" t="s">
        <v>83</v>
      </c>
      <c r="B8" s="13" t="str">
        <f>VLOOKUP(A8,'US Census Bureau Regions'!A:D,3,FALSE)</f>
        <v>Midwest</v>
      </c>
      <c r="C8" s="13">
        <v>48</v>
      </c>
      <c r="D8" s="13">
        <v>5.2</v>
      </c>
      <c r="E8" s="13">
        <v>38</v>
      </c>
      <c r="F8" s="13">
        <v>24300</v>
      </c>
      <c r="G8" s="13">
        <v>3.9</v>
      </c>
      <c r="H8" s="13">
        <v>2565</v>
      </c>
      <c r="I8" s="13">
        <v>5</v>
      </c>
      <c r="J8" s="13">
        <v>9</v>
      </c>
      <c r="K8" s="13">
        <v>1.28</v>
      </c>
      <c r="L8" s="13" t="s">
        <v>13</v>
      </c>
    </row>
    <row r="9" spans="1:12" s="13" customFormat="1" x14ac:dyDescent="0.3">
      <c r="A9" s="13" t="s">
        <v>84</v>
      </c>
      <c r="B9" s="13" t="str">
        <f>VLOOKUP(A9,'US Census Bureau Regions'!A:D,3,FALSE)</f>
        <v>South</v>
      </c>
      <c r="C9" s="13">
        <v>14</v>
      </c>
      <c r="D9" s="13">
        <v>3.1</v>
      </c>
      <c r="E9" s="13">
        <v>18</v>
      </c>
      <c r="F9" s="13">
        <v>7900</v>
      </c>
      <c r="G9" s="13">
        <v>2.8</v>
      </c>
      <c r="H9" s="13">
        <v>2406</v>
      </c>
      <c r="I9" s="13">
        <v>6</v>
      </c>
      <c r="J9" s="13">
        <v>5</v>
      </c>
      <c r="K9" s="13">
        <v>1.75</v>
      </c>
      <c r="L9" s="13" t="s">
        <v>13</v>
      </c>
    </row>
    <row r="10" spans="1:12" s="13" customFormat="1" x14ac:dyDescent="0.3">
      <c r="A10" s="13" t="s">
        <v>85</v>
      </c>
      <c r="B10" s="13" t="str">
        <f>VLOOKUP(A10,'US Census Bureau Regions'!A:D,3,FALSE)</f>
        <v>West</v>
      </c>
      <c r="C10" s="13">
        <v>20</v>
      </c>
      <c r="D10" s="13">
        <v>3.4</v>
      </c>
      <c r="E10" s="13">
        <v>22</v>
      </c>
      <c r="F10" s="13">
        <v>13700</v>
      </c>
      <c r="G10" s="13">
        <v>3.8</v>
      </c>
      <c r="H10" s="13">
        <v>964</v>
      </c>
      <c r="I10" s="13">
        <v>39</v>
      </c>
      <c r="J10" s="13">
        <v>20</v>
      </c>
      <c r="K10" s="13">
        <v>0.79</v>
      </c>
      <c r="L10" s="13" t="s">
        <v>0</v>
      </c>
    </row>
    <row r="11" spans="1:12" s="13" customFormat="1" x14ac:dyDescent="0.3">
      <c r="A11" s="13" t="s">
        <v>86</v>
      </c>
      <c r="B11" s="13" t="str">
        <f>VLOOKUP(A11,'US Census Bureau Regions'!A:D,3,FALSE)</f>
        <v>Midwest</v>
      </c>
      <c r="C11" s="13">
        <v>97</v>
      </c>
      <c r="D11" s="13">
        <v>6.6</v>
      </c>
      <c r="E11" s="13">
        <v>44</v>
      </c>
      <c r="F11" s="13">
        <v>45600</v>
      </c>
      <c r="G11" s="13">
        <v>4.5</v>
      </c>
      <c r="H11" s="13">
        <v>790</v>
      </c>
      <c r="I11" s="13">
        <v>43</v>
      </c>
      <c r="J11" s="13">
        <v>26</v>
      </c>
      <c r="K11" s="13">
        <v>0.98</v>
      </c>
      <c r="L11" s="13" t="s">
        <v>0</v>
      </c>
    </row>
    <row r="12" spans="1:12" s="13" customFormat="1" x14ac:dyDescent="0.3">
      <c r="A12" s="13" t="s">
        <v>87</v>
      </c>
      <c r="B12" s="13" t="str">
        <f>VLOOKUP(A12,'US Census Bureau Regions'!A:D,3,FALSE)</f>
        <v>West</v>
      </c>
      <c r="C12" s="13">
        <v>60</v>
      </c>
      <c r="D12" s="13">
        <v>2.2999999999999998</v>
      </c>
      <c r="E12" s="13">
        <v>6</v>
      </c>
      <c r="F12" s="13">
        <v>54400</v>
      </c>
      <c r="G12" s="13">
        <v>3.2</v>
      </c>
      <c r="H12" s="13">
        <v>891</v>
      </c>
      <c r="I12" s="13">
        <v>40</v>
      </c>
      <c r="J12" s="13">
        <v>30</v>
      </c>
      <c r="K12" s="13">
        <v>1.26</v>
      </c>
      <c r="L12" s="13" t="s">
        <v>0</v>
      </c>
    </row>
    <row r="13" spans="1:12" s="13" customFormat="1" x14ac:dyDescent="0.3">
      <c r="A13" s="13" t="s">
        <v>88</v>
      </c>
      <c r="B13" s="13" t="str">
        <f>VLOOKUP(A13,'US Census Bureau Regions'!A:D,3,FALSE)</f>
        <v>South</v>
      </c>
      <c r="C13" s="13">
        <v>218</v>
      </c>
      <c r="D13" s="13">
        <v>2.7</v>
      </c>
      <c r="E13" s="13">
        <v>15</v>
      </c>
      <c r="H13" s="13">
        <v>1821</v>
      </c>
      <c r="I13" s="13">
        <v>25</v>
      </c>
      <c r="J13" s="13">
        <v>60</v>
      </c>
      <c r="K13" s="13">
        <v>2.38</v>
      </c>
      <c r="L13" s="13" t="s">
        <v>13</v>
      </c>
    </row>
    <row r="14" spans="1:12" s="13" customFormat="1" x14ac:dyDescent="0.3">
      <c r="A14" s="13" t="s">
        <v>89</v>
      </c>
      <c r="B14" s="13" t="str">
        <f>VLOOKUP(A14,'US Census Bureau Regions'!A:D,3,FALSE)</f>
        <v>South</v>
      </c>
      <c r="C14" s="13">
        <v>149</v>
      </c>
      <c r="D14" s="13">
        <v>3.8</v>
      </c>
      <c r="E14" s="13">
        <v>30</v>
      </c>
      <c r="F14" s="13">
        <v>66200</v>
      </c>
      <c r="G14" s="13">
        <v>2.7</v>
      </c>
      <c r="H14" s="13">
        <v>726</v>
      </c>
      <c r="I14" s="13">
        <v>46</v>
      </c>
      <c r="J14" s="13">
        <v>48</v>
      </c>
      <c r="K14" s="13">
        <v>0.82</v>
      </c>
      <c r="L14" s="13" t="s">
        <v>0</v>
      </c>
    </row>
    <row r="15" spans="1:12" s="13" customFormat="1" x14ac:dyDescent="0.3">
      <c r="A15" s="13" t="s">
        <v>90</v>
      </c>
      <c r="B15" s="13" t="str">
        <f>VLOOKUP(A15,'US Census Bureau Regions'!A:D,3,FALSE)</f>
        <v>Midwest</v>
      </c>
      <c r="C15" s="13">
        <v>88</v>
      </c>
      <c r="D15" s="13">
        <v>3.3</v>
      </c>
      <c r="E15" s="13">
        <v>21</v>
      </c>
      <c r="F15" s="13">
        <v>60300</v>
      </c>
      <c r="G15" s="13">
        <v>3.3</v>
      </c>
      <c r="H15" s="13">
        <v>1931</v>
      </c>
      <c r="I15" s="13">
        <v>20</v>
      </c>
      <c r="J15" s="13">
        <v>26</v>
      </c>
      <c r="K15" s="13">
        <v>1.18</v>
      </c>
      <c r="L15" s="13" t="s">
        <v>13</v>
      </c>
    </row>
    <row r="16" spans="1:12" s="13" customFormat="1" x14ac:dyDescent="0.3">
      <c r="A16" s="13" t="s">
        <v>91</v>
      </c>
      <c r="B16" s="13" t="str">
        <f>VLOOKUP(A16,'US Census Bureau Regions'!A:D,3,FALSE)</f>
        <v>Midwest</v>
      </c>
      <c r="C16" s="13">
        <v>137</v>
      </c>
      <c r="D16" s="13">
        <v>3.4</v>
      </c>
      <c r="E16" s="13">
        <v>22</v>
      </c>
      <c r="F16" s="13">
        <v>105500</v>
      </c>
      <c r="G16" s="13">
        <v>4</v>
      </c>
      <c r="H16" s="13">
        <v>542</v>
      </c>
      <c r="I16" s="13">
        <v>48</v>
      </c>
      <c r="J16" s="13">
        <v>63</v>
      </c>
      <c r="K16" s="13">
        <v>0.45</v>
      </c>
      <c r="L16" s="13" t="s">
        <v>0</v>
      </c>
    </row>
    <row r="17" spans="1:12" s="13" customFormat="1" x14ac:dyDescent="0.3">
      <c r="A17" s="13" t="s">
        <v>92</v>
      </c>
      <c r="B17" s="13" t="str">
        <f>VLOOKUP(A17,'US Census Bureau Regions'!A:D,3,FALSE)</f>
        <v>Midwest</v>
      </c>
      <c r="C17" s="13">
        <v>115</v>
      </c>
      <c r="D17" s="13">
        <v>4.2</v>
      </c>
      <c r="E17" s="13">
        <v>33</v>
      </c>
      <c r="F17" s="13">
        <v>77900</v>
      </c>
      <c r="G17" s="13">
        <v>3.9</v>
      </c>
      <c r="H17" s="13">
        <v>1054</v>
      </c>
      <c r="I17" s="13">
        <v>34</v>
      </c>
      <c r="J17" s="13">
        <v>39</v>
      </c>
      <c r="K17" s="13">
        <v>1.04</v>
      </c>
      <c r="L17" s="13" t="s">
        <v>0</v>
      </c>
    </row>
    <row r="18" spans="1:12" s="13" customFormat="1" x14ac:dyDescent="0.3">
      <c r="A18" s="13" t="s">
        <v>93</v>
      </c>
      <c r="B18" s="13" t="str">
        <f>VLOOKUP(A18,'US Census Bureau Regions'!A:D,3,FALSE)</f>
        <v>South</v>
      </c>
      <c r="C18" s="13">
        <v>146</v>
      </c>
      <c r="D18" s="13">
        <v>3.5</v>
      </c>
      <c r="E18" s="13">
        <v>25</v>
      </c>
      <c r="F18" s="13">
        <v>75900</v>
      </c>
      <c r="G18" s="13">
        <v>2.9</v>
      </c>
      <c r="H18" s="13">
        <v>996</v>
      </c>
      <c r="I18" s="13">
        <v>38</v>
      </c>
      <c r="J18" s="13">
        <v>104</v>
      </c>
      <c r="K18" s="13">
        <v>0.6</v>
      </c>
      <c r="L18" s="13" t="s">
        <v>0</v>
      </c>
    </row>
    <row r="19" spans="1:12" s="13" customFormat="1" x14ac:dyDescent="0.3">
      <c r="A19" s="13" t="s">
        <v>94</v>
      </c>
      <c r="B19" s="13" t="str">
        <f>VLOOKUP(A19,'US Census Bureau Regions'!A:D,3,FALSE)</f>
        <v>Northeast</v>
      </c>
      <c r="C19" s="13">
        <v>14</v>
      </c>
      <c r="D19" s="13">
        <v>2.2000000000000002</v>
      </c>
      <c r="E19" s="13">
        <v>4</v>
      </c>
      <c r="H19" s="13">
        <v>2243</v>
      </c>
      <c r="I19" s="13">
        <v>8</v>
      </c>
      <c r="J19" s="13">
        <v>7</v>
      </c>
      <c r="K19" s="13">
        <v>1.19</v>
      </c>
      <c r="L19" s="13" t="s">
        <v>13</v>
      </c>
    </row>
    <row r="20" spans="1:12" s="13" customFormat="1" x14ac:dyDescent="0.3">
      <c r="A20" s="13" t="s">
        <v>95</v>
      </c>
      <c r="B20" s="13" t="str">
        <f>VLOOKUP(A20,'US Census Bureau Regions'!A:D,3,FALSE)</f>
        <v>West</v>
      </c>
      <c r="C20" s="13">
        <v>39</v>
      </c>
      <c r="D20" s="13">
        <v>4.8</v>
      </c>
      <c r="E20" s="13">
        <v>35</v>
      </c>
      <c r="F20" s="13">
        <v>19900</v>
      </c>
      <c r="G20" s="13">
        <v>3.9</v>
      </c>
      <c r="H20" s="13">
        <v>998</v>
      </c>
      <c r="I20" s="13">
        <v>37</v>
      </c>
      <c r="J20" s="13">
        <v>9</v>
      </c>
      <c r="K20" s="13">
        <v>1.91</v>
      </c>
      <c r="L20" s="13" t="s">
        <v>0</v>
      </c>
    </row>
    <row r="21" spans="1:12" s="13" customFormat="1" x14ac:dyDescent="0.3">
      <c r="A21" s="13" t="s">
        <v>96</v>
      </c>
      <c r="B21" s="13" t="str">
        <f>VLOOKUP(A21,'US Census Bureau Regions'!A:D,3,FALSE)</f>
        <v>Northeast</v>
      </c>
      <c r="C21" s="13">
        <v>194</v>
      </c>
      <c r="D21" s="13">
        <v>3.4</v>
      </c>
      <c r="E21" s="13">
        <v>22</v>
      </c>
      <c r="F21" s="13">
        <v>155300</v>
      </c>
      <c r="G21" s="13">
        <v>3.9</v>
      </c>
      <c r="H21" s="13">
        <v>1916</v>
      </c>
      <c r="I21" s="13">
        <v>22</v>
      </c>
      <c r="J21" s="13">
        <v>57</v>
      </c>
      <c r="K21" s="13">
        <v>1.25</v>
      </c>
      <c r="L21" s="13" t="s">
        <v>13</v>
      </c>
    </row>
    <row r="22" spans="1:12" s="13" customFormat="1" x14ac:dyDescent="0.3">
      <c r="A22" s="13" t="s">
        <v>97</v>
      </c>
      <c r="B22" s="13" t="str">
        <f>VLOOKUP(A22,'US Census Bureau Regions'!A:D,3,FALSE)</f>
        <v>Midwest</v>
      </c>
      <c r="C22" s="13">
        <v>31</v>
      </c>
      <c r="D22" s="13">
        <v>6.7</v>
      </c>
      <c r="E22" s="13">
        <v>45</v>
      </c>
      <c r="H22" s="13">
        <v>2346</v>
      </c>
      <c r="I22" s="13">
        <v>7</v>
      </c>
      <c r="K22" s="13">
        <v>5.21</v>
      </c>
      <c r="L22" s="13" t="s">
        <v>13</v>
      </c>
    </row>
    <row r="23" spans="1:12" s="13" customFormat="1" x14ac:dyDescent="0.3">
      <c r="A23" s="13" t="s">
        <v>98</v>
      </c>
      <c r="B23" s="13" t="str">
        <f>VLOOKUP(A23,'US Census Bureau Regions'!A:D,3,FALSE)</f>
        <v>Northeast</v>
      </c>
      <c r="C23" s="13">
        <v>202</v>
      </c>
      <c r="D23" s="13">
        <v>2.4</v>
      </c>
      <c r="E23" s="13">
        <v>8</v>
      </c>
      <c r="F23" s="13">
        <v>146300</v>
      </c>
      <c r="G23" s="13">
        <v>2.5</v>
      </c>
      <c r="H23" s="13">
        <v>2016</v>
      </c>
      <c r="I23" s="13">
        <v>17</v>
      </c>
      <c r="J23" s="13">
        <v>105</v>
      </c>
      <c r="K23" s="13">
        <v>1.84</v>
      </c>
      <c r="L23" s="13" t="s">
        <v>13</v>
      </c>
    </row>
    <row r="24" spans="1:12" s="13" customFormat="1" x14ac:dyDescent="0.3">
      <c r="A24" s="13" t="s">
        <v>99</v>
      </c>
      <c r="B24" s="13" t="str">
        <f>VLOOKUP(A24,'US Census Bureau Regions'!A:D,3,FALSE)</f>
        <v>West</v>
      </c>
      <c r="C24" s="13">
        <v>39</v>
      </c>
      <c r="D24" s="13">
        <v>3</v>
      </c>
      <c r="E24" s="13">
        <v>17</v>
      </c>
      <c r="F24" s="13">
        <v>27700</v>
      </c>
      <c r="G24" s="13">
        <v>3.4</v>
      </c>
      <c r="H24" s="13">
        <v>1053</v>
      </c>
      <c r="I24" s="13">
        <v>35</v>
      </c>
      <c r="J24" s="13">
        <v>22</v>
      </c>
      <c r="K24" s="13">
        <v>0.81</v>
      </c>
      <c r="L24" s="13" t="s">
        <v>0</v>
      </c>
    </row>
    <row r="25" spans="1:12" s="13" customFormat="1" x14ac:dyDescent="0.3">
      <c r="A25" s="13" t="s">
        <v>100</v>
      </c>
      <c r="B25" s="13" t="str">
        <f>VLOOKUP(A25,'US Census Bureau Regions'!A:D,3,FALSE)</f>
        <v>Northeast</v>
      </c>
      <c r="C25" s="13">
        <v>19</v>
      </c>
      <c r="D25" s="13">
        <v>3.2</v>
      </c>
      <c r="E25" s="13">
        <v>20</v>
      </c>
      <c r="F25" s="13">
        <v>21200</v>
      </c>
      <c r="G25" s="13">
        <v>5.6</v>
      </c>
      <c r="H25" s="13">
        <v>2083</v>
      </c>
      <c r="I25" s="13">
        <v>14</v>
      </c>
      <c r="J25" s="13">
        <v>8</v>
      </c>
      <c r="K25" s="13">
        <v>0.8</v>
      </c>
      <c r="L25" s="13" t="s">
        <v>13</v>
      </c>
    </row>
    <row r="26" spans="1:12" s="13" customFormat="1" x14ac:dyDescent="0.3">
      <c r="A26" s="13" t="s">
        <v>101</v>
      </c>
      <c r="B26" s="13" t="str">
        <f>VLOOKUP(A26,'US Census Bureau Regions'!A:D,3,FALSE)</f>
        <v>West</v>
      </c>
      <c r="C26" s="13">
        <v>34</v>
      </c>
      <c r="D26" s="13">
        <v>7.3</v>
      </c>
      <c r="E26" s="13">
        <v>47</v>
      </c>
      <c r="F26" s="13">
        <v>13300</v>
      </c>
      <c r="G26" s="13">
        <v>5</v>
      </c>
      <c r="H26" s="13">
        <v>1983</v>
      </c>
      <c r="I26" s="13">
        <v>18</v>
      </c>
      <c r="J26" s="13">
        <v>7</v>
      </c>
      <c r="K26" s="13">
        <v>1.35</v>
      </c>
      <c r="L26" s="13" t="s">
        <v>13</v>
      </c>
    </row>
    <row r="27" spans="1:12" s="13" customFormat="1" x14ac:dyDescent="0.3">
      <c r="A27" s="13" t="s">
        <v>102</v>
      </c>
      <c r="B27" s="13" t="str">
        <f>VLOOKUP(A27,'US Census Bureau Regions'!A:D,3,FALSE)</f>
        <v>Northeast</v>
      </c>
      <c r="C27" s="13">
        <v>11</v>
      </c>
      <c r="D27" s="13">
        <v>3.5</v>
      </c>
      <c r="E27" s="13">
        <v>25</v>
      </c>
      <c r="F27" s="13">
        <v>9900</v>
      </c>
      <c r="G27" s="13">
        <v>5</v>
      </c>
      <c r="H27" s="13">
        <v>1008</v>
      </c>
      <c r="I27" s="13">
        <v>36</v>
      </c>
      <c r="J27" s="13">
        <v>9</v>
      </c>
      <c r="K27" s="13">
        <v>0.68</v>
      </c>
      <c r="L27" s="13" t="s">
        <v>0</v>
      </c>
    </row>
    <row r="28" spans="1:12" s="13" customFormat="1" x14ac:dyDescent="0.3">
      <c r="A28" s="13" t="s">
        <v>103</v>
      </c>
      <c r="B28" s="13" t="str">
        <f>VLOOKUP(A28,'US Census Bureau Regions'!A:D,3,FALSE)</f>
        <v>South</v>
      </c>
      <c r="C28" s="13">
        <v>63</v>
      </c>
      <c r="D28" s="13">
        <v>5.4</v>
      </c>
      <c r="E28" s="13">
        <v>39</v>
      </c>
      <c r="F28" s="13">
        <v>26600</v>
      </c>
      <c r="G28" s="13">
        <v>3.2</v>
      </c>
      <c r="H28" s="13">
        <v>2569</v>
      </c>
      <c r="I28" s="13">
        <v>4</v>
      </c>
      <c r="J28" s="13">
        <v>9</v>
      </c>
      <c r="K28" s="13">
        <v>2.37</v>
      </c>
      <c r="L28" s="13" t="s">
        <v>13</v>
      </c>
    </row>
    <row r="29" spans="1:12" s="13" customFormat="1" x14ac:dyDescent="0.3">
      <c r="A29" s="13" t="s">
        <v>104</v>
      </c>
      <c r="B29" s="13" t="str">
        <f>VLOOKUP(A29,'US Census Bureau Regions'!A:D,3,FALSE)</f>
        <v>West</v>
      </c>
      <c r="C29" s="13">
        <v>42</v>
      </c>
      <c r="D29" s="13">
        <v>3.6</v>
      </c>
      <c r="E29" s="13">
        <v>29</v>
      </c>
      <c r="F29" s="13">
        <v>32400</v>
      </c>
      <c r="G29" s="13">
        <v>4.0999999999999996</v>
      </c>
      <c r="H29" s="13">
        <v>2133</v>
      </c>
      <c r="I29" s="13">
        <v>13</v>
      </c>
      <c r="J29" s="13">
        <v>44</v>
      </c>
      <c r="K29" s="13">
        <v>0.49</v>
      </c>
      <c r="L29" s="13" t="s">
        <v>0</v>
      </c>
    </row>
    <row r="30" spans="1:12" s="13" customFormat="1" x14ac:dyDescent="0.3">
      <c r="A30" s="13" t="s">
        <v>105</v>
      </c>
      <c r="B30" s="13" t="str">
        <f>VLOOKUP(A30,'US Census Bureau Regions'!A:D,3,FALSE)</f>
        <v>South</v>
      </c>
      <c r="C30" s="13">
        <v>91</v>
      </c>
      <c r="D30" s="13">
        <v>4.9000000000000004</v>
      </c>
      <c r="E30" s="13">
        <v>37</v>
      </c>
      <c r="F30" s="13">
        <v>48900</v>
      </c>
      <c r="G30" s="13">
        <v>4.0999999999999996</v>
      </c>
      <c r="H30" s="13">
        <v>3254</v>
      </c>
      <c r="I30" s="13">
        <v>2</v>
      </c>
      <c r="J30" s="13">
        <v>39</v>
      </c>
      <c r="K30" s="13">
        <v>1.24</v>
      </c>
      <c r="L30" s="13" t="s">
        <v>0</v>
      </c>
    </row>
    <row r="31" spans="1:12" s="13" customFormat="1" x14ac:dyDescent="0.3">
      <c r="A31" s="13" t="s">
        <v>106</v>
      </c>
      <c r="B31" s="13" t="str">
        <f>VLOOKUP(A31,'US Census Bureau Regions'!A:D,3,FALSE)</f>
        <v>South</v>
      </c>
      <c r="C31" s="13">
        <v>72</v>
      </c>
      <c r="D31" s="13">
        <v>2.6</v>
      </c>
      <c r="E31" s="13">
        <v>12</v>
      </c>
      <c r="F31" s="13">
        <v>51900</v>
      </c>
      <c r="G31" s="13">
        <v>3.1</v>
      </c>
      <c r="H31" s="13">
        <v>685</v>
      </c>
      <c r="I31" s="13">
        <v>47</v>
      </c>
      <c r="J31" s="13">
        <v>48</v>
      </c>
      <c r="K31" s="13">
        <v>1.08</v>
      </c>
      <c r="L31" s="13" t="s">
        <v>0</v>
      </c>
    </row>
    <row r="32" spans="1:12" s="13" customFormat="1" x14ac:dyDescent="0.3">
      <c r="A32" s="13" t="s">
        <v>107</v>
      </c>
      <c r="B32" s="13" t="str">
        <f>VLOOKUP(A32,'US Census Bureau Regions'!A:D,3,FALSE)</f>
        <v>South</v>
      </c>
      <c r="C32" s="13">
        <v>84</v>
      </c>
      <c r="D32" s="13">
        <v>4.3</v>
      </c>
      <c r="E32" s="13">
        <v>34</v>
      </c>
      <c r="F32" s="13">
        <v>41200</v>
      </c>
      <c r="G32" s="13">
        <v>3.3</v>
      </c>
      <c r="H32" s="13">
        <v>1803</v>
      </c>
      <c r="I32" s="13">
        <v>26</v>
      </c>
      <c r="J32" s="13">
        <v>24</v>
      </c>
      <c r="K32" s="13">
        <v>0.94</v>
      </c>
      <c r="L32" s="13" t="s">
        <v>13</v>
      </c>
    </row>
    <row r="33" spans="1:12" s="13" customFormat="1" x14ac:dyDescent="0.3">
      <c r="A33" s="13" t="s">
        <v>108</v>
      </c>
      <c r="B33" s="13" t="str">
        <f>VLOOKUP(A33,'US Census Bureau Regions'!A:D,3,FALSE)</f>
        <v>Northeast</v>
      </c>
      <c r="C33" s="13">
        <v>36</v>
      </c>
      <c r="D33" s="13">
        <v>2.1</v>
      </c>
      <c r="E33" s="13">
        <v>3</v>
      </c>
      <c r="F33" s="13">
        <v>43800</v>
      </c>
      <c r="G33" s="13">
        <v>3.9</v>
      </c>
      <c r="H33" s="13">
        <v>1735</v>
      </c>
      <c r="I33" s="13">
        <v>30</v>
      </c>
      <c r="J33" s="13">
        <v>24</v>
      </c>
      <c r="K33" s="13">
        <v>1.07</v>
      </c>
      <c r="L33" s="13" t="s">
        <v>13</v>
      </c>
    </row>
    <row r="34" spans="1:12" s="13" customFormat="1" x14ac:dyDescent="0.3">
      <c r="A34" s="13" t="s">
        <v>109</v>
      </c>
      <c r="B34" s="13" t="str">
        <f>VLOOKUP(A34,'US Census Bureau Regions'!A:D,3,FALSE)</f>
        <v>West</v>
      </c>
      <c r="C34" s="13">
        <v>43</v>
      </c>
      <c r="D34" s="13">
        <v>2.6</v>
      </c>
      <c r="E34" s="13">
        <v>12</v>
      </c>
      <c r="F34" s="13">
        <v>42900</v>
      </c>
      <c r="G34" s="13">
        <v>3.9</v>
      </c>
      <c r="H34" s="13">
        <v>363</v>
      </c>
      <c r="I34" s="13">
        <v>50</v>
      </c>
      <c r="J34" s="13">
        <v>75</v>
      </c>
      <c r="K34" s="13">
        <v>0.31</v>
      </c>
      <c r="L34" s="13" t="s">
        <v>0</v>
      </c>
    </row>
    <row r="35" spans="1:12" s="13" customFormat="1" x14ac:dyDescent="0.3">
      <c r="A35" s="13" t="s">
        <v>110</v>
      </c>
      <c r="B35" s="13" t="str">
        <f>VLOOKUP(A35,'US Census Bureau Regions'!A:D,3,FALSE)</f>
        <v>West</v>
      </c>
      <c r="C35" s="13">
        <v>82</v>
      </c>
      <c r="D35" s="13">
        <v>3.5</v>
      </c>
      <c r="E35" s="13">
        <v>25</v>
      </c>
      <c r="H35" s="13">
        <v>1649</v>
      </c>
      <c r="I35" s="13">
        <v>31</v>
      </c>
      <c r="J35" s="13">
        <v>28</v>
      </c>
      <c r="K35" s="13">
        <v>1.22</v>
      </c>
      <c r="L35" s="13" t="s">
        <v>13</v>
      </c>
    </row>
    <row r="36" spans="1:12" s="13" customFormat="1" x14ac:dyDescent="0.3">
      <c r="A36" s="13" t="s">
        <v>111</v>
      </c>
      <c r="B36" s="13" t="str">
        <f>VLOOKUP(A36,'US Census Bureau Regions'!A:D,3,FALSE)</f>
        <v>Midwest</v>
      </c>
      <c r="C36" s="13">
        <v>161</v>
      </c>
      <c r="D36" s="13">
        <v>3.1</v>
      </c>
      <c r="E36" s="13">
        <v>18</v>
      </c>
      <c r="F36" s="13">
        <v>113600</v>
      </c>
      <c r="G36" s="13">
        <v>3.2</v>
      </c>
      <c r="H36" s="13">
        <v>2156</v>
      </c>
      <c r="I36" s="13">
        <v>11</v>
      </c>
      <c r="J36" s="13">
        <v>53</v>
      </c>
      <c r="K36" s="13">
        <v>1.1200000000000001</v>
      </c>
      <c r="L36" s="13" t="s">
        <v>13</v>
      </c>
    </row>
    <row r="37" spans="1:12" s="13" customFormat="1" x14ac:dyDescent="0.3">
      <c r="A37" s="13" t="s">
        <v>112</v>
      </c>
      <c r="B37" s="13" t="str">
        <f>VLOOKUP(A37,'US Census Bureau Regions'!A:D,3,FALSE)</f>
        <v>West</v>
      </c>
      <c r="C37" s="13">
        <v>35</v>
      </c>
      <c r="D37" s="13">
        <v>12.2</v>
      </c>
      <c r="E37" s="13">
        <v>49</v>
      </c>
      <c r="F37" s="13">
        <v>6500</v>
      </c>
      <c r="G37" s="13">
        <v>3.5</v>
      </c>
      <c r="H37" s="13">
        <v>1777</v>
      </c>
      <c r="I37" s="13">
        <v>28</v>
      </c>
      <c r="J37" s="13">
        <v>9</v>
      </c>
      <c r="K37" s="13">
        <v>1.01</v>
      </c>
      <c r="L37" s="13" t="s">
        <v>0</v>
      </c>
    </row>
    <row r="38" spans="1:12" s="13" customFormat="1" x14ac:dyDescent="0.3">
      <c r="A38" s="13" t="s">
        <v>113</v>
      </c>
      <c r="B38" s="13" t="str">
        <f>VLOOKUP(A38,'US Census Bureau Regions'!A:D,3,FALSE)</f>
        <v>Midwest</v>
      </c>
      <c r="C38" s="13">
        <v>70</v>
      </c>
      <c r="D38" s="13">
        <v>2.6</v>
      </c>
      <c r="E38" s="13">
        <v>12</v>
      </c>
      <c r="F38" s="13">
        <v>67500</v>
      </c>
      <c r="G38" s="13">
        <v>3.8</v>
      </c>
      <c r="H38" s="13">
        <v>768</v>
      </c>
      <c r="I38" s="13">
        <v>44</v>
      </c>
      <c r="J38" s="13">
        <v>58</v>
      </c>
      <c r="K38" s="13">
        <v>0.56999999999999995</v>
      </c>
      <c r="L38" s="13" t="s">
        <v>0</v>
      </c>
    </row>
    <row r="39" spans="1:12" s="13" customFormat="1" x14ac:dyDescent="0.3">
      <c r="A39" s="13" t="s">
        <v>114</v>
      </c>
      <c r="B39" s="13" t="str">
        <f>VLOOKUP(A39,'US Census Bureau Regions'!A:D,3,FALSE)</f>
        <v>Midwest</v>
      </c>
      <c r="C39" s="13">
        <v>76</v>
      </c>
      <c r="D39" s="13">
        <v>5.7</v>
      </c>
      <c r="E39" s="13">
        <v>41</v>
      </c>
      <c r="F39" s="13">
        <v>33400</v>
      </c>
      <c r="G39" s="13">
        <v>3.6</v>
      </c>
      <c r="H39" s="13">
        <v>1971</v>
      </c>
      <c r="I39" s="13">
        <v>19</v>
      </c>
      <c r="J39" s="13">
        <v>16</v>
      </c>
      <c r="K39" s="13">
        <v>1.1000000000000001</v>
      </c>
      <c r="L39" s="13" t="s">
        <v>13</v>
      </c>
    </row>
    <row r="40" spans="1:12" s="13" customFormat="1" x14ac:dyDescent="0.3">
      <c r="A40" s="13" t="s">
        <v>115</v>
      </c>
      <c r="B40" s="13" t="str">
        <f>VLOOKUP(A40,'US Census Bureau Regions'!A:D,3,FALSE)</f>
        <v>West</v>
      </c>
      <c r="C40" s="13">
        <v>19</v>
      </c>
      <c r="D40" s="13">
        <v>2.7</v>
      </c>
      <c r="E40" s="13">
        <v>15</v>
      </c>
      <c r="H40" s="13">
        <v>1449</v>
      </c>
      <c r="I40" s="13">
        <v>33</v>
      </c>
      <c r="J40" s="13">
        <v>9</v>
      </c>
      <c r="K40" s="13">
        <v>1.08</v>
      </c>
      <c r="L40" s="13" t="s">
        <v>13</v>
      </c>
    </row>
    <row r="41" spans="1:12" s="13" customFormat="1" x14ac:dyDescent="0.3">
      <c r="A41" s="13" t="s">
        <v>116</v>
      </c>
      <c r="B41" s="13" t="str">
        <f>VLOOKUP(A41,'US Census Bureau Regions'!A:D,3,FALSE)</f>
        <v>West</v>
      </c>
      <c r="C41" s="13">
        <v>67</v>
      </c>
      <c r="D41" s="13">
        <v>2.2000000000000002</v>
      </c>
      <c r="E41" s="13">
        <v>4</v>
      </c>
      <c r="F41" s="13">
        <v>89300</v>
      </c>
      <c r="G41" s="13">
        <v>4.8</v>
      </c>
      <c r="H41" s="13">
        <v>791</v>
      </c>
      <c r="I41" s="13">
        <v>42</v>
      </c>
      <c r="J41" s="13">
        <v>111</v>
      </c>
      <c r="K41" s="13">
        <v>0.5</v>
      </c>
      <c r="L41" s="13" t="s">
        <v>0</v>
      </c>
    </row>
    <row r="42" spans="1:12" s="13" customFormat="1" x14ac:dyDescent="0.3">
      <c r="A42" s="13" t="s">
        <v>117</v>
      </c>
      <c r="B42" s="13" t="str">
        <f>VLOOKUP(A42,'US Census Bureau Regions'!A:D,3,FALSE)</f>
        <v>Midwest</v>
      </c>
      <c r="C42" s="13">
        <v>114</v>
      </c>
      <c r="D42" s="13">
        <v>4</v>
      </c>
      <c r="E42" s="13">
        <v>32</v>
      </c>
      <c r="F42" s="13">
        <v>72900</v>
      </c>
      <c r="G42" s="13">
        <v>4</v>
      </c>
      <c r="H42" s="13">
        <v>2207</v>
      </c>
      <c r="I42" s="13">
        <v>9</v>
      </c>
      <c r="J42" s="13">
        <v>36</v>
      </c>
      <c r="K42" s="13">
        <v>1.04</v>
      </c>
      <c r="L42" s="13" t="s">
        <v>13</v>
      </c>
    </row>
    <row r="43" spans="1:12" s="13" customFormat="1" x14ac:dyDescent="0.3">
      <c r="A43" s="13" t="s">
        <v>118</v>
      </c>
      <c r="B43" s="13" t="str">
        <f>VLOOKUP(A43,'US Census Bureau Regions'!A:D,3,FALSE)</f>
        <v>South</v>
      </c>
      <c r="C43" s="13">
        <v>63</v>
      </c>
      <c r="D43" s="13">
        <v>5.5</v>
      </c>
      <c r="E43" s="13">
        <v>40</v>
      </c>
      <c r="H43" s="13">
        <v>1515</v>
      </c>
      <c r="I43" s="13">
        <v>32</v>
      </c>
      <c r="J43" s="13">
        <v>14</v>
      </c>
      <c r="K43" s="13">
        <v>1.1200000000000001</v>
      </c>
      <c r="L43" s="13" t="s">
        <v>13</v>
      </c>
    </row>
    <row r="44" spans="1:12" s="13" customFormat="1" x14ac:dyDescent="0.3">
      <c r="A44" s="13" t="s">
        <v>119</v>
      </c>
      <c r="B44" s="13" t="str">
        <f>VLOOKUP(A44,'US Census Bureau Regions'!A:D,3,FALSE)</f>
        <v>South</v>
      </c>
      <c r="C44" s="13">
        <v>116</v>
      </c>
      <c r="D44" s="13">
        <v>6.4</v>
      </c>
      <c r="E44" s="13">
        <v>43</v>
      </c>
      <c r="F44" s="13">
        <v>30600</v>
      </c>
      <c r="G44" s="13">
        <v>2.2999999999999998</v>
      </c>
      <c r="H44" s="13">
        <v>1765</v>
      </c>
      <c r="I44" s="13">
        <v>29</v>
      </c>
      <c r="J44" s="13">
        <v>16</v>
      </c>
      <c r="K44" s="13">
        <v>2.06</v>
      </c>
      <c r="L44" s="13" t="s">
        <v>13</v>
      </c>
    </row>
    <row r="45" spans="1:12" s="13" customFormat="1" x14ac:dyDescent="0.3">
      <c r="A45" s="13" t="s">
        <v>120</v>
      </c>
      <c r="B45" s="13" t="str">
        <f>VLOOKUP(A45,'US Census Bureau Regions'!A:D,3,FALSE)</f>
        <v>South</v>
      </c>
      <c r="C45" s="13">
        <v>101</v>
      </c>
      <c r="D45" s="13">
        <v>2.5</v>
      </c>
      <c r="E45" s="13">
        <v>10</v>
      </c>
      <c r="F45" s="13">
        <v>74800</v>
      </c>
      <c r="G45" s="13">
        <v>2.8</v>
      </c>
      <c r="H45" s="13">
        <v>2061</v>
      </c>
      <c r="I45" s="13">
        <v>15</v>
      </c>
      <c r="J45" s="13">
        <v>49</v>
      </c>
      <c r="K45" s="13">
        <v>1.38</v>
      </c>
      <c r="L45" s="13" t="s">
        <v>13</v>
      </c>
    </row>
    <row r="46" spans="1:12" s="13" customFormat="1" x14ac:dyDescent="0.3">
      <c r="A46" s="13" t="s">
        <v>121</v>
      </c>
      <c r="B46" s="13" t="str">
        <f>VLOOKUP(A46,'US Census Bureau Regions'!A:D,3,FALSE)</f>
        <v>Northeast</v>
      </c>
      <c r="C46" s="13">
        <v>8</v>
      </c>
      <c r="D46" s="13">
        <v>1.7</v>
      </c>
      <c r="E46" s="13">
        <v>2</v>
      </c>
      <c r="H46" s="13">
        <v>2023</v>
      </c>
      <c r="I46" s="13">
        <v>16</v>
      </c>
      <c r="J46" s="13">
        <v>7</v>
      </c>
      <c r="K46" s="13">
        <v>1.03</v>
      </c>
      <c r="L46" s="13" t="s">
        <v>13</v>
      </c>
    </row>
    <row r="47" spans="1:12" s="13" customFormat="1" x14ac:dyDescent="0.3">
      <c r="A47" s="13" t="s">
        <v>122</v>
      </c>
      <c r="B47" s="13" t="str">
        <f>VLOOKUP(A47,'US Census Bureau Regions'!A:D,3,FALSE)</f>
        <v>West</v>
      </c>
      <c r="C47" s="13">
        <v>31</v>
      </c>
      <c r="D47" s="13">
        <v>8.9</v>
      </c>
      <c r="E47" s="13">
        <v>48</v>
      </c>
      <c r="F47" s="13">
        <v>9700</v>
      </c>
      <c r="G47" s="13">
        <v>4.5999999999999996</v>
      </c>
      <c r="H47" s="13">
        <v>889</v>
      </c>
      <c r="I47" s="13">
        <v>41</v>
      </c>
      <c r="J47" s="13">
        <v>11</v>
      </c>
      <c r="K47" s="13">
        <v>0.57999999999999996</v>
      </c>
      <c r="L47" s="13" t="s">
        <v>0</v>
      </c>
    </row>
    <row r="48" spans="1:12" s="13" customFormat="1" x14ac:dyDescent="0.3">
      <c r="A48" s="13" t="s">
        <v>123</v>
      </c>
      <c r="B48" s="13" t="str">
        <f>VLOOKUP(A48,'US Census Bureau Regions'!A:D,3,FALSE)</f>
        <v>Northeast</v>
      </c>
      <c r="C48" s="13">
        <v>92</v>
      </c>
      <c r="D48" s="13">
        <v>2.4</v>
      </c>
      <c r="E48" s="13">
        <v>8</v>
      </c>
      <c r="F48" s="13">
        <v>80900</v>
      </c>
      <c r="G48" s="13">
        <v>3.1</v>
      </c>
      <c r="H48" s="13">
        <v>2151</v>
      </c>
      <c r="I48" s="13">
        <v>12</v>
      </c>
      <c r="J48" s="13">
        <v>67</v>
      </c>
      <c r="K48" s="13">
        <v>1.23</v>
      </c>
      <c r="L48" s="13" t="s">
        <v>13</v>
      </c>
    </row>
    <row r="49" spans="1:12" s="13" customFormat="1" x14ac:dyDescent="0.3">
      <c r="A49" s="13" t="s">
        <v>124</v>
      </c>
      <c r="B49" s="13" t="str">
        <f>VLOOKUP(A49,'US Census Bureau Regions'!A:D,3,FALSE)</f>
        <v>Midwest</v>
      </c>
      <c r="C49" s="13">
        <v>65</v>
      </c>
      <c r="D49" s="13">
        <v>17.7</v>
      </c>
      <c r="E49" s="13">
        <v>50</v>
      </c>
      <c r="H49" s="13">
        <v>3045</v>
      </c>
      <c r="I49" s="13">
        <v>3</v>
      </c>
      <c r="J49" s="13">
        <v>8</v>
      </c>
      <c r="K49" s="13">
        <v>1.1100000000000001</v>
      </c>
      <c r="L49" s="13" t="s">
        <v>13</v>
      </c>
    </row>
    <row r="50" spans="1:12" s="13" customFormat="1" x14ac:dyDescent="0.3">
      <c r="A50" s="13" t="s">
        <v>125</v>
      </c>
      <c r="B50" s="13" t="str">
        <f>VLOOKUP(A50,'US Census Bureau Regions'!A:D,3,FALSE)</f>
        <v>South</v>
      </c>
      <c r="C50" s="13">
        <v>536</v>
      </c>
      <c r="D50" s="13">
        <v>4.8</v>
      </c>
      <c r="E50" s="13">
        <v>35</v>
      </c>
      <c r="F50" s="13">
        <v>203200</v>
      </c>
      <c r="G50" s="13">
        <v>2.7</v>
      </c>
      <c r="H50" s="13">
        <v>2187</v>
      </c>
      <c r="I50" s="13">
        <v>10</v>
      </c>
      <c r="J50" s="13">
        <v>98</v>
      </c>
      <c r="K50" s="13">
        <v>1.36</v>
      </c>
      <c r="L50" s="13" t="s">
        <v>13</v>
      </c>
    </row>
    <row r="51" spans="1:12" s="13" customFormat="1" x14ac:dyDescent="0.3">
      <c r="A51" s="13" t="s">
        <v>126</v>
      </c>
      <c r="B51" s="13" t="str">
        <f>VLOOKUP(A51,'US Census Bureau Regions'!A:D,3,FALSE)</f>
        <v>West</v>
      </c>
      <c r="C51" s="13">
        <v>375</v>
      </c>
      <c r="D51" s="13">
        <v>2.2999999999999998</v>
      </c>
      <c r="E51" s="13">
        <v>6</v>
      </c>
      <c r="F51" s="13">
        <v>345400</v>
      </c>
      <c r="G51" s="13">
        <v>3.5</v>
      </c>
      <c r="H51" s="13">
        <v>6422</v>
      </c>
      <c r="I51" s="13">
        <v>1</v>
      </c>
      <c r="J51" s="13">
        <v>216</v>
      </c>
      <c r="K51" s="13">
        <v>1.79</v>
      </c>
      <c r="L51" s="13" t="s">
        <v>0</v>
      </c>
    </row>
    <row r="52" spans="1:12" x14ac:dyDescent="0.3">
      <c r="A52" s="13"/>
      <c r="B52" s="13"/>
      <c r="C52" s="13"/>
      <c r="D52" s="13"/>
      <c r="E52" s="13"/>
      <c r="F52" s="13"/>
      <c r="G52" s="13"/>
      <c r="H52" s="13"/>
      <c r="I52" s="13"/>
      <c r="J52" s="13"/>
      <c r="K52" s="13"/>
      <c r="L52" s="13"/>
    </row>
    <row r="53" spans="1:12" x14ac:dyDescent="0.3">
      <c r="A53" s="22" t="s">
        <v>206</v>
      </c>
      <c r="B53" s="13"/>
      <c r="C53" s="22">
        <f>SUM(Table2[[#Data],[#Totals],[Number of Fatalities, 2012]])</f>
        <v>4617</v>
      </c>
      <c r="D53" s="22">
        <f>SUM(Table2[[#Data],[#Totals],[Rate of Fatalities, 2012]])</f>
        <v>215.89999999999995</v>
      </c>
      <c r="E53" s="22">
        <f>SUM(Table2[[#Data],[#Totals],[State Rank, Fatalities 2012]])</f>
        <v>1255</v>
      </c>
      <c r="F53" s="22">
        <f>SUM(Table2[[#Data],[#Totals],[Number of Injuries/Illnesses 2012]])</f>
        <v>2695500</v>
      </c>
      <c r="G53" s="22">
        <f>SUM(Table2[[#Data],[#Totals],[Injuries/Illnesses 2012 Rate]])</f>
        <v>152.29999999999998</v>
      </c>
      <c r="H53" s="22">
        <f>SUM(Table2[[#Data],[#Totals],[Penalties FY 2013 (Average $)]])</f>
        <v>86394</v>
      </c>
      <c r="I53" s="22">
        <f>SUM(Table2[[#Data],[#Totals],[Penalties FY 2013 (Rank)]])</f>
        <v>1275</v>
      </c>
      <c r="J53" s="22">
        <f>SUM(Table2[[#Data],[#Totals],[Inspectors]])</f>
        <v>1910</v>
      </c>
      <c r="K53" s="22">
        <f>SUM(Table2[[#Data],[#Totals],[Years to Inspect Each Workplace Once]])</f>
        <v>61.939999999999991</v>
      </c>
      <c r="L53" s="22"/>
    </row>
    <row r="54" spans="1:12" x14ac:dyDescent="0.3">
      <c r="A54" s="13"/>
      <c r="B54" s="13"/>
      <c r="C54" s="13"/>
      <c r="D54" s="13"/>
      <c r="E54" s="13"/>
      <c r="F54" s="13"/>
      <c r="G54" s="13"/>
      <c r="H54" s="13"/>
      <c r="I54" s="13"/>
      <c r="J54" s="13"/>
      <c r="K54" s="13"/>
      <c r="L54" s="13"/>
    </row>
    <row r="55" spans="1:12" s="17" customFormat="1" ht="43.2" x14ac:dyDescent="0.3">
      <c r="A55" s="15"/>
      <c r="B55" s="16" t="s">
        <v>1</v>
      </c>
      <c r="C55" s="16" t="s">
        <v>2</v>
      </c>
      <c r="D55" s="16" t="s">
        <v>3</v>
      </c>
      <c r="E55" s="16" t="s">
        <v>4</v>
      </c>
      <c r="F55" s="16" t="s">
        <v>5</v>
      </c>
      <c r="G55" s="16" t="s">
        <v>6</v>
      </c>
      <c r="H55" s="16" t="s">
        <v>7</v>
      </c>
      <c r="I55" s="16" t="s">
        <v>8</v>
      </c>
      <c r="J55" s="16" t="s">
        <v>9</v>
      </c>
    </row>
    <row r="56" spans="1:12" ht="18" x14ac:dyDescent="0.35">
      <c r="A56" s="12" t="s">
        <v>67</v>
      </c>
      <c r="B56" s="19">
        <f>AVERAGE(Table1[Number of Fatalities, 2012])</f>
        <v>92.34</v>
      </c>
      <c r="C56" s="19">
        <f>AVERAGE(Table1[Rate of Fatalities, 2012])</f>
        <v>4.3179999999999987</v>
      </c>
      <c r="D56" s="19">
        <f>AVERAGE(Table1[State Rank, Fatalities 2012])</f>
        <v>25.1</v>
      </c>
      <c r="E56" s="20">
        <f>AVERAGE(Table1[Number of Injuries/Illnesses 2012])</f>
        <v>64178.571428571428</v>
      </c>
      <c r="F56" s="19">
        <f>AVERAGE(Table1[Injuries/Illnesses 2012 Rate])</f>
        <v>3.6261904761904757</v>
      </c>
      <c r="G56" s="19">
        <f>AVERAGE(Table1[Penalties FY 2013 (Average $)])</f>
        <v>1727.88</v>
      </c>
      <c r="H56" s="19">
        <f>AVERAGE(Table1[Penalties FY 2013 (Rank)])</f>
        <v>25.5</v>
      </c>
      <c r="I56" s="19">
        <f>AVERAGE(Table1[Inspectors])</f>
        <v>38.979591836734691</v>
      </c>
      <c r="J56" s="19">
        <f>AVERAGE(Table1[Years to Inspect Each Workplace Once])</f>
        <v>1.2387999999999999</v>
      </c>
    </row>
    <row r="57" spans="1:12" ht="18" x14ac:dyDescent="0.35">
      <c r="A57" s="12" t="s">
        <v>68</v>
      </c>
      <c r="B57" s="13">
        <f>MEDIAN(Table1[Number of Fatalities, 2012])</f>
        <v>68.5</v>
      </c>
      <c r="C57" s="13">
        <f>MEDIAN(Table1[Rate of Fatalities, 2012])</f>
        <v>3.5</v>
      </c>
      <c r="D57" s="13">
        <f>MEDIAN(Table1[State Rank, Fatalities 2012])</f>
        <v>25</v>
      </c>
      <c r="E57" s="13">
        <f>MEDIAN(Table1[Number of Injuries/Illnesses 2012])</f>
        <v>47250</v>
      </c>
      <c r="F57" s="13">
        <f>MEDIAN(Table1[Injuries/Illnesses 2012 Rate])</f>
        <v>3.55</v>
      </c>
      <c r="G57" s="13">
        <f>MEDIAN(Table1[Penalties FY 2013 (Average $)])</f>
        <v>1812</v>
      </c>
      <c r="H57" s="13">
        <f>MEDIAN(Table1[Penalties FY 2013 (Rank)])</f>
        <v>25.5</v>
      </c>
      <c r="I57" s="13">
        <f>MEDIAN(Table1[Inspectors])</f>
        <v>26</v>
      </c>
      <c r="J57" s="13">
        <f>MEDIAN(Table1[Years to Inspect Each Workplace Once])</f>
        <v>1.1150000000000002</v>
      </c>
    </row>
    <row r="58" spans="1:12" ht="18" x14ac:dyDescent="0.35">
      <c r="A58" s="12" t="s">
        <v>69</v>
      </c>
      <c r="B58" s="13">
        <f>MODE(Table1[Number of Fatalities, 2012])</f>
        <v>63</v>
      </c>
      <c r="C58" s="13">
        <f>MODE(Table1[Rate of Fatalities, 2012])</f>
        <v>3.5</v>
      </c>
      <c r="D58" s="13">
        <f>MODE(Table1[State Rank, Fatalities 2012])</f>
        <v>25</v>
      </c>
      <c r="E58" s="13" t="e">
        <f>MODE(Table1[Number of Injuries/Illnesses 2012])</f>
        <v>#N/A</v>
      </c>
      <c r="F58" s="13">
        <f>MODE(Table1[Injuries/Illnesses 2012 Rate])</f>
        <v>3.9</v>
      </c>
      <c r="G58" s="13" t="e">
        <f>MODE(Table1[Penalties FY 2013 (Average $)])</f>
        <v>#N/A</v>
      </c>
      <c r="H58" s="13" t="e">
        <f>MODE(Table1[Penalties FY 2013 (Rank)])</f>
        <v>#N/A</v>
      </c>
      <c r="I58" s="13">
        <f>MODE(Table1[Inspectors])</f>
        <v>9</v>
      </c>
      <c r="J58" s="13">
        <f>MODE(Table1[Years to Inspect Each Workplace Once])</f>
        <v>1.1100000000000001</v>
      </c>
    </row>
    <row r="59" spans="1:12" ht="18" x14ac:dyDescent="0.35">
      <c r="A59" s="12"/>
      <c r="B59" s="13"/>
      <c r="C59" s="13"/>
      <c r="D59" s="13"/>
      <c r="E59" s="13"/>
      <c r="F59" s="13"/>
      <c r="G59" s="13"/>
      <c r="H59" s="13"/>
      <c r="I59" s="13"/>
      <c r="J59" s="13"/>
    </row>
    <row r="60" spans="1:12" ht="18" x14ac:dyDescent="0.35">
      <c r="A60" s="12" t="s">
        <v>70</v>
      </c>
      <c r="B60" s="13">
        <f>QUARTILE(Table1[Number of Fatalities, 2012],1)</f>
        <v>39</v>
      </c>
      <c r="C60" s="13">
        <f>QUARTILE(Table1[Rate of Fatalities, 2012],1)</f>
        <v>2.6</v>
      </c>
      <c r="D60" s="13">
        <f>QUARTILE(Table1[State Rank, Fatalities 2012],1)</f>
        <v>12</v>
      </c>
      <c r="E60" s="13">
        <f>QUARTILE(Table1[Number of Injuries/Illnesses 2012],1)</f>
        <v>26875</v>
      </c>
      <c r="F60" s="13">
        <f>QUARTILE(Table1[Injuries/Illnesses 2012 Rate],1)</f>
        <v>3.125</v>
      </c>
      <c r="G60" s="13">
        <f>QUARTILE(Table1[Penalties FY 2013 (Average $)],1)</f>
        <v>996.5</v>
      </c>
      <c r="H60" s="13">
        <f>QUARTILE(Table1[Penalties FY 2013 (Rank)],1)</f>
        <v>13.25</v>
      </c>
      <c r="I60" s="13">
        <f>QUARTILE(Table1[Inspectors],1)</f>
        <v>9</v>
      </c>
      <c r="J60" s="13">
        <f>QUARTILE(Table1[Years to Inspect Each Workplace Once],1)</f>
        <v>0.85</v>
      </c>
    </row>
    <row r="61" spans="1:12" ht="18" x14ac:dyDescent="0.35">
      <c r="A61" s="12" t="s">
        <v>71</v>
      </c>
      <c r="B61" s="13">
        <f>QUARTILE(Table1[Number of Fatalities, 2012],3)</f>
        <v>110.75</v>
      </c>
      <c r="C61" s="13">
        <f>QUARTILE(Table1[Rate of Fatalities, 2012],3)</f>
        <v>5.125</v>
      </c>
      <c r="D61" s="13">
        <f>QUARTILE(Table1[State Rank, Fatalities 2012],3)</f>
        <v>37.75</v>
      </c>
      <c r="E61" s="13">
        <f>QUARTILE(Table1[Number of Injuries/Illnesses 2012],3)</f>
        <v>75625</v>
      </c>
      <c r="F61" s="13">
        <f>QUARTILE(Table1[Injuries/Illnesses 2012 Rate],3)</f>
        <v>3.9750000000000001</v>
      </c>
      <c r="G61" s="13">
        <f>QUARTILE(Table1[Penalties FY 2013 (Average $)],3)</f>
        <v>2120.5</v>
      </c>
      <c r="H61" s="13">
        <f>QUARTILE(Table1[Penalties FY 2013 (Rank)],3)</f>
        <v>37.75</v>
      </c>
      <c r="I61" s="13">
        <f>QUARTILE(Table1[Inspectors],3)</f>
        <v>53</v>
      </c>
      <c r="J61" s="13">
        <f>QUARTILE(Table1[Years to Inspect Each Workplace Once],3)</f>
        <v>1.34</v>
      </c>
    </row>
    <row r="62" spans="1:12" ht="18" x14ac:dyDescent="0.35">
      <c r="A62" s="12" t="s">
        <v>72</v>
      </c>
      <c r="B62" s="13">
        <f>+B61-B60</f>
        <v>71.75</v>
      </c>
      <c r="C62" s="13">
        <f t="shared" ref="C62:J62" si="0">+C61-C60</f>
        <v>2.5249999999999999</v>
      </c>
      <c r="D62" s="13">
        <f t="shared" si="0"/>
        <v>25.75</v>
      </c>
      <c r="E62" s="13">
        <f t="shared" si="0"/>
        <v>48750</v>
      </c>
      <c r="F62" s="13">
        <f t="shared" si="0"/>
        <v>0.85000000000000009</v>
      </c>
      <c r="G62" s="13">
        <f t="shared" si="0"/>
        <v>1124</v>
      </c>
      <c r="H62" s="13">
        <f t="shared" si="0"/>
        <v>24.5</v>
      </c>
      <c r="I62" s="13">
        <f t="shared" si="0"/>
        <v>44</v>
      </c>
      <c r="J62" s="13">
        <f t="shared" si="0"/>
        <v>0.4900000000000001</v>
      </c>
    </row>
    <row r="63" spans="1:12" ht="18" x14ac:dyDescent="0.35">
      <c r="A63" s="12"/>
      <c r="B63" s="13"/>
      <c r="C63" s="13"/>
      <c r="D63" s="13"/>
      <c r="E63" s="13"/>
      <c r="F63" s="13"/>
      <c r="G63" s="13"/>
      <c r="H63" s="13"/>
      <c r="I63" s="13"/>
      <c r="J63" s="13"/>
    </row>
    <row r="64" spans="1:12" ht="18" x14ac:dyDescent="0.35">
      <c r="A64" s="12" t="s">
        <v>73</v>
      </c>
      <c r="B64" s="21">
        <f>_xlfn.STDEV.S(Table1[Number of Fatalities, 2012])</f>
        <v>92.019875847668956</v>
      </c>
      <c r="C64" s="21">
        <f>_xlfn.STDEV.S(Table1[Rate of Fatalities, 2012])</f>
        <v>2.7885838699956667</v>
      </c>
      <c r="D64" s="21">
        <f>_xlfn.STDEV.S(Table1[State Rank, Fatalities 2012])</f>
        <v>14.733344106869581</v>
      </c>
      <c r="E64" s="21">
        <f>_xlfn.STDEV.S(Table1[Number of Injuries/Illnesses 2012])</f>
        <v>61912.808618896779</v>
      </c>
      <c r="F64" s="21">
        <f>_xlfn.STDEV.S(Table1[Injuries/Illnesses 2012 Rate])</f>
        <v>0.71774019479485784</v>
      </c>
      <c r="G64" s="21">
        <f>_xlfn.STDEV.S(Table1[Penalties FY 2013 (Average $)])</f>
        <v>963.37770243608009</v>
      </c>
      <c r="H64" s="21">
        <f>_xlfn.STDEV.S(Table1[Penalties FY 2013 (Rank)])</f>
        <v>14.577379737113251</v>
      </c>
      <c r="I64" s="21">
        <f>_xlfn.STDEV.S(Table1[Inspectors])</f>
        <v>38.594305385163565</v>
      </c>
      <c r="J64" s="21">
        <f>_xlfn.STDEV.S(Table1[Years to Inspect Each Workplace Once])</f>
        <v>0.73311646762437488</v>
      </c>
    </row>
    <row r="65" spans="1:10" ht="18" x14ac:dyDescent="0.35">
      <c r="A65" s="12"/>
      <c r="B65" s="21"/>
      <c r="C65" s="21"/>
      <c r="D65" s="21"/>
      <c r="E65" s="21"/>
      <c r="F65" s="21"/>
      <c r="G65" s="21"/>
      <c r="H65" s="21"/>
      <c r="I65" s="21"/>
      <c r="J65" s="21"/>
    </row>
    <row r="66" spans="1:10" ht="18" x14ac:dyDescent="0.35">
      <c r="A66" s="12" t="s">
        <v>75</v>
      </c>
      <c r="B66" s="13">
        <f>COUNTIF(Table1[State or Federal Program], "State")</f>
        <v>21</v>
      </c>
      <c r="C66" s="13"/>
      <c r="D66" s="13"/>
      <c r="E66" s="13"/>
      <c r="F66" s="13"/>
      <c r="G66" s="13"/>
      <c r="H66" s="13"/>
      <c r="I66" s="13"/>
      <c r="J66" s="13"/>
    </row>
    <row r="67" spans="1:10" ht="18" x14ac:dyDescent="0.35">
      <c r="A67" s="12" t="s">
        <v>74</v>
      </c>
      <c r="B67" s="13">
        <f>COUNTIF(Table1[State or Federal Program], "Federal")</f>
        <v>29</v>
      </c>
      <c r="C67" s="13"/>
      <c r="D67" s="13"/>
      <c r="E67" s="13"/>
      <c r="F67" s="13"/>
      <c r="G67" s="13"/>
      <c r="H67" s="13"/>
      <c r="I67" s="13"/>
      <c r="J67" s="13"/>
    </row>
    <row r="68" spans="1:10" ht="18" x14ac:dyDescent="0.35">
      <c r="A68" s="12" t="s">
        <v>76</v>
      </c>
      <c r="B68" s="13">
        <f>SUM(B66:B67)</f>
        <v>50</v>
      </c>
      <c r="C68" s="13"/>
      <c r="D68" s="13"/>
      <c r="E68" s="13"/>
      <c r="F68" s="13"/>
      <c r="G68" s="13"/>
      <c r="H68" s="13"/>
      <c r="I68" s="13"/>
      <c r="J68" s="13"/>
    </row>
    <row r="69" spans="1:10" ht="18" x14ac:dyDescent="0.35">
      <c r="A69" s="12"/>
      <c r="B69" s="13"/>
      <c r="C69" s="13"/>
      <c r="D69" s="13"/>
      <c r="E69" s="13"/>
      <c r="F69" s="13"/>
      <c r="G69" s="13"/>
      <c r="H69" s="13"/>
      <c r="I69" s="13"/>
      <c r="J69" s="13"/>
    </row>
    <row r="70" spans="1:10" ht="18" x14ac:dyDescent="0.35">
      <c r="A70" s="12"/>
    </row>
    <row r="73" spans="1:10" x14ac:dyDescent="0.3">
      <c r="A73" s="23" t="s">
        <v>158</v>
      </c>
      <c r="B73" s="23" t="s">
        <v>148</v>
      </c>
      <c r="C73" s="23" t="s">
        <v>127</v>
      </c>
      <c r="D73" s="23" t="s">
        <v>137</v>
      </c>
    </row>
    <row r="74" spans="1:10" x14ac:dyDescent="0.3">
      <c r="A74">
        <v>146</v>
      </c>
      <c r="B74">
        <v>44</v>
      </c>
      <c r="C74">
        <v>63</v>
      </c>
      <c r="D74">
        <v>20</v>
      </c>
      <c r="I74" t="s">
        <v>204</v>
      </c>
    </row>
    <row r="75" spans="1:10" x14ac:dyDescent="0.3">
      <c r="A75">
        <v>48</v>
      </c>
      <c r="B75">
        <v>14</v>
      </c>
      <c r="C75">
        <v>49</v>
      </c>
      <c r="D75">
        <v>60</v>
      </c>
      <c r="I75" t="s">
        <v>205</v>
      </c>
    </row>
    <row r="76" spans="1:10" x14ac:dyDescent="0.3">
      <c r="A76">
        <v>97</v>
      </c>
      <c r="B76">
        <v>194</v>
      </c>
      <c r="C76">
        <v>101</v>
      </c>
      <c r="D76">
        <v>39</v>
      </c>
    </row>
    <row r="77" spans="1:10" x14ac:dyDescent="0.3">
      <c r="A77">
        <v>88</v>
      </c>
      <c r="B77">
        <v>202</v>
      </c>
      <c r="C77">
        <v>97</v>
      </c>
      <c r="D77">
        <v>39</v>
      </c>
    </row>
    <row r="78" spans="1:10" x14ac:dyDescent="0.3">
      <c r="A78">
        <v>137</v>
      </c>
      <c r="B78">
        <v>19</v>
      </c>
      <c r="C78">
        <v>14</v>
      </c>
      <c r="D78">
        <v>34</v>
      </c>
    </row>
    <row r="79" spans="1:10" x14ac:dyDescent="0.3">
      <c r="A79">
        <v>115</v>
      </c>
      <c r="B79">
        <v>11</v>
      </c>
      <c r="C79">
        <v>218</v>
      </c>
      <c r="D79">
        <v>42</v>
      </c>
    </row>
    <row r="80" spans="1:10" x14ac:dyDescent="0.3">
      <c r="A80">
        <v>31</v>
      </c>
      <c r="B80">
        <v>36</v>
      </c>
      <c r="C80">
        <v>149</v>
      </c>
      <c r="D80">
        <v>43</v>
      </c>
    </row>
    <row r="81" spans="1:4" x14ac:dyDescent="0.3">
      <c r="A81">
        <v>161</v>
      </c>
      <c r="B81">
        <v>8</v>
      </c>
      <c r="C81">
        <v>146</v>
      </c>
      <c r="D81">
        <v>82</v>
      </c>
    </row>
    <row r="82" spans="1:4" x14ac:dyDescent="0.3">
      <c r="A82">
        <v>70</v>
      </c>
      <c r="B82">
        <v>92</v>
      </c>
      <c r="C82">
        <v>63</v>
      </c>
      <c r="D82">
        <v>35</v>
      </c>
    </row>
    <row r="83" spans="1:4" x14ac:dyDescent="0.3">
      <c r="A83">
        <v>76</v>
      </c>
      <c r="C83">
        <v>91</v>
      </c>
      <c r="D83">
        <v>19</v>
      </c>
    </row>
    <row r="84" spans="1:4" x14ac:dyDescent="0.3">
      <c r="A84">
        <v>114</v>
      </c>
      <c r="C84">
        <v>72</v>
      </c>
      <c r="D84">
        <v>67</v>
      </c>
    </row>
    <row r="85" spans="1:4" x14ac:dyDescent="0.3">
      <c r="A85">
        <v>65</v>
      </c>
      <c r="C85">
        <v>84</v>
      </c>
      <c r="D85">
        <v>31</v>
      </c>
    </row>
    <row r="86" spans="1:4" x14ac:dyDescent="0.3">
      <c r="C86">
        <v>63</v>
      </c>
      <c r="D86">
        <v>375</v>
      </c>
    </row>
    <row r="87" spans="1:4" x14ac:dyDescent="0.3">
      <c r="C87">
        <v>116</v>
      </c>
    </row>
    <row r="88" spans="1:4" x14ac:dyDescent="0.3">
      <c r="C88">
        <v>101</v>
      </c>
    </row>
    <row r="89" spans="1:4" x14ac:dyDescent="0.3">
      <c r="C89">
        <v>536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8941C-6329-42B8-9F75-304D7E88A0DB}">
  <dimension ref="A1:D52"/>
  <sheetViews>
    <sheetView workbookViewId="0">
      <selection sqref="A1:XFD1"/>
    </sheetView>
  </sheetViews>
  <sheetFormatPr defaultRowHeight="14.4" x14ac:dyDescent="0.3"/>
  <cols>
    <col min="3" max="3" width="9.44140625" bestFit="1" customWidth="1"/>
    <col min="4" max="4" width="17.21875" bestFit="1" customWidth="1"/>
  </cols>
  <sheetData>
    <row r="1" spans="1:4" x14ac:dyDescent="0.3">
      <c r="A1" t="s">
        <v>0</v>
      </c>
      <c r="B1" t="s">
        <v>133</v>
      </c>
      <c r="C1" t="s">
        <v>134</v>
      </c>
      <c r="D1" t="s">
        <v>135</v>
      </c>
    </row>
    <row r="2" spans="1:4" x14ac:dyDescent="0.3">
      <c r="A2" t="s">
        <v>122</v>
      </c>
      <c r="B2" t="s">
        <v>136</v>
      </c>
      <c r="C2" t="s">
        <v>137</v>
      </c>
      <c r="D2" t="s">
        <v>138</v>
      </c>
    </row>
    <row r="3" spans="1:4" x14ac:dyDescent="0.3">
      <c r="A3" t="s">
        <v>107</v>
      </c>
      <c r="B3" t="s">
        <v>139</v>
      </c>
      <c r="C3" t="s">
        <v>127</v>
      </c>
      <c r="D3" t="s">
        <v>140</v>
      </c>
    </row>
    <row r="4" spans="1:4" x14ac:dyDescent="0.3">
      <c r="A4" t="s">
        <v>103</v>
      </c>
      <c r="B4" t="s">
        <v>141</v>
      </c>
      <c r="C4" t="s">
        <v>127</v>
      </c>
      <c r="D4" t="s">
        <v>142</v>
      </c>
    </row>
    <row r="5" spans="1:4" x14ac:dyDescent="0.3">
      <c r="A5" t="s">
        <v>87</v>
      </c>
      <c r="B5" t="s">
        <v>143</v>
      </c>
      <c r="C5" t="s">
        <v>137</v>
      </c>
      <c r="D5" t="s">
        <v>144</v>
      </c>
    </row>
    <row r="6" spans="1:4" x14ac:dyDescent="0.3">
      <c r="A6" t="s">
        <v>126</v>
      </c>
      <c r="B6" t="s">
        <v>145</v>
      </c>
      <c r="C6" t="s">
        <v>137</v>
      </c>
      <c r="D6" t="s">
        <v>138</v>
      </c>
    </row>
    <row r="7" spans="1:4" x14ac:dyDescent="0.3">
      <c r="A7" t="s">
        <v>110</v>
      </c>
      <c r="B7" t="s">
        <v>146</v>
      </c>
      <c r="C7" t="s">
        <v>137</v>
      </c>
      <c r="D7" t="s">
        <v>144</v>
      </c>
    </row>
    <row r="8" spans="1:4" x14ac:dyDescent="0.3">
      <c r="A8" t="s">
        <v>108</v>
      </c>
      <c r="B8" t="s">
        <v>147</v>
      </c>
      <c r="C8" t="s">
        <v>148</v>
      </c>
      <c r="D8" t="s">
        <v>149</v>
      </c>
    </row>
    <row r="9" spans="1:4" x14ac:dyDescent="0.3">
      <c r="A9" t="s">
        <v>150</v>
      </c>
      <c r="B9" t="s">
        <v>151</v>
      </c>
      <c r="C9" t="s">
        <v>127</v>
      </c>
      <c r="D9" t="s">
        <v>152</v>
      </c>
    </row>
    <row r="10" spans="1:4" x14ac:dyDescent="0.3">
      <c r="A10" t="s">
        <v>84</v>
      </c>
      <c r="B10" t="s">
        <v>153</v>
      </c>
      <c r="C10" t="s">
        <v>127</v>
      </c>
      <c r="D10" t="s">
        <v>152</v>
      </c>
    </row>
    <row r="11" spans="1:4" x14ac:dyDescent="0.3">
      <c r="A11" t="s">
        <v>88</v>
      </c>
      <c r="B11" t="s">
        <v>154</v>
      </c>
      <c r="C11" t="s">
        <v>127</v>
      </c>
      <c r="D11" t="s">
        <v>152</v>
      </c>
    </row>
    <row r="12" spans="1:4" x14ac:dyDescent="0.3">
      <c r="A12" t="s">
        <v>120</v>
      </c>
      <c r="B12" t="s">
        <v>155</v>
      </c>
      <c r="C12" t="s">
        <v>127</v>
      </c>
      <c r="D12" t="s">
        <v>152</v>
      </c>
    </row>
    <row r="13" spans="1:4" x14ac:dyDescent="0.3">
      <c r="A13" t="s">
        <v>85</v>
      </c>
      <c r="B13" t="s">
        <v>156</v>
      </c>
      <c r="C13" t="s">
        <v>137</v>
      </c>
      <c r="D13" t="s">
        <v>138</v>
      </c>
    </row>
    <row r="14" spans="1:4" x14ac:dyDescent="0.3">
      <c r="A14" t="s">
        <v>86</v>
      </c>
      <c r="B14" t="s">
        <v>157</v>
      </c>
      <c r="C14" t="s">
        <v>158</v>
      </c>
      <c r="D14" t="s">
        <v>159</v>
      </c>
    </row>
    <row r="15" spans="1:4" x14ac:dyDescent="0.3">
      <c r="A15" t="s">
        <v>115</v>
      </c>
      <c r="B15" t="s">
        <v>160</v>
      </c>
      <c r="C15" t="s">
        <v>137</v>
      </c>
      <c r="D15" t="s">
        <v>144</v>
      </c>
    </row>
    <row r="16" spans="1:4" x14ac:dyDescent="0.3">
      <c r="A16" t="s">
        <v>82</v>
      </c>
      <c r="B16" t="s">
        <v>161</v>
      </c>
      <c r="C16" t="s">
        <v>158</v>
      </c>
      <c r="D16" t="s">
        <v>162</v>
      </c>
    </row>
    <row r="17" spans="1:4" x14ac:dyDescent="0.3">
      <c r="A17" t="s">
        <v>92</v>
      </c>
      <c r="B17" t="s">
        <v>163</v>
      </c>
      <c r="C17" t="s">
        <v>158</v>
      </c>
      <c r="D17" t="s">
        <v>162</v>
      </c>
    </row>
    <row r="18" spans="1:4" x14ac:dyDescent="0.3">
      <c r="A18" t="s">
        <v>114</v>
      </c>
      <c r="B18" t="s">
        <v>164</v>
      </c>
      <c r="C18" t="s">
        <v>158</v>
      </c>
      <c r="D18" t="s">
        <v>159</v>
      </c>
    </row>
    <row r="19" spans="1:4" x14ac:dyDescent="0.3">
      <c r="A19" t="s">
        <v>105</v>
      </c>
      <c r="B19" t="s">
        <v>165</v>
      </c>
      <c r="C19" t="s">
        <v>127</v>
      </c>
      <c r="D19" t="s">
        <v>140</v>
      </c>
    </row>
    <row r="20" spans="1:4" x14ac:dyDescent="0.3">
      <c r="A20" t="s">
        <v>119</v>
      </c>
      <c r="B20" t="s">
        <v>166</v>
      </c>
      <c r="C20" t="s">
        <v>127</v>
      </c>
      <c r="D20" t="s">
        <v>142</v>
      </c>
    </row>
    <row r="21" spans="1:4" x14ac:dyDescent="0.3">
      <c r="A21" t="s">
        <v>79</v>
      </c>
      <c r="B21" t="s">
        <v>167</v>
      </c>
      <c r="C21" t="s">
        <v>148</v>
      </c>
      <c r="D21" t="s">
        <v>149</v>
      </c>
    </row>
    <row r="22" spans="1:4" x14ac:dyDescent="0.3">
      <c r="A22" t="s">
        <v>106</v>
      </c>
      <c r="B22" t="s">
        <v>168</v>
      </c>
      <c r="C22" t="s">
        <v>127</v>
      </c>
      <c r="D22" t="s">
        <v>152</v>
      </c>
    </row>
    <row r="23" spans="1:4" x14ac:dyDescent="0.3">
      <c r="A23" t="s">
        <v>100</v>
      </c>
      <c r="B23" t="s">
        <v>169</v>
      </c>
      <c r="C23" t="s">
        <v>148</v>
      </c>
      <c r="D23" t="s">
        <v>149</v>
      </c>
    </row>
    <row r="24" spans="1:4" x14ac:dyDescent="0.3">
      <c r="A24" t="s">
        <v>91</v>
      </c>
      <c r="B24" t="s">
        <v>170</v>
      </c>
      <c r="C24" t="s">
        <v>158</v>
      </c>
      <c r="D24" t="s">
        <v>162</v>
      </c>
    </row>
    <row r="25" spans="1:4" x14ac:dyDescent="0.3">
      <c r="A25" t="s">
        <v>113</v>
      </c>
      <c r="B25" t="s">
        <v>171</v>
      </c>
      <c r="C25" t="s">
        <v>158</v>
      </c>
      <c r="D25" t="s">
        <v>159</v>
      </c>
    </row>
    <row r="26" spans="1:4" x14ac:dyDescent="0.3">
      <c r="A26" t="s">
        <v>90</v>
      </c>
      <c r="B26" t="s">
        <v>172</v>
      </c>
      <c r="C26" t="s">
        <v>158</v>
      </c>
      <c r="D26" t="s">
        <v>159</v>
      </c>
    </row>
    <row r="27" spans="1:4" x14ac:dyDescent="0.3">
      <c r="A27" t="s">
        <v>118</v>
      </c>
      <c r="B27" t="s">
        <v>173</v>
      </c>
      <c r="C27" t="s">
        <v>127</v>
      </c>
      <c r="D27" t="s">
        <v>140</v>
      </c>
    </row>
    <row r="28" spans="1:4" x14ac:dyDescent="0.3">
      <c r="A28" t="s">
        <v>101</v>
      </c>
      <c r="B28" t="s">
        <v>174</v>
      </c>
      <c r="C28" t="s">
        <v>137</v>
      </c>
      <c r="D28" t="s">
        <v>144</v>
      </c>
    </row>
    <row r="29" spans="1:4" x14ac:dyDescent="0.3">
      <c r="A29" t="s">
        <v>93</v>
      </c>
      <c r="B29" t="s">
        <v>175</v>
      </c>
      <c r="C29" t="s">
        <v>127</v>
      </c>
      <c r="D29" t="s">
        <v>152</v>
      </c>
    </row>
    <row r="30" spans="1:4" x14ac:dyDescent="0.3">
      <c r="A30" t="s">
        <v>124</v>
      </c>
      <c r="B30" t="s">
        <v>176</v>
      </c>
      <c r="C30" t="s">
        <v>158</v>
      </c>
      <c r="D30" t="s">
        <v>159</v>
      </c>
    </row>
    <row r="31" spans="1:4" x14ac:dyDescent="0.3">
      <c r="A31" t="s">
        <v>83</v>
      </c>
      <c r="B31" t="s">
        <v>177</v>
      </c>
      <c r="C31" t="s">
        <v>158</v>
      </c>
      <c r="D31" t="s">
        <v>159</v>
      </c>
    </row>
    <row r="32" spans="1:4" x14ac:dyDescent="0.3">
      <c r="A32" t="s">
        <v>94</v>
      </c>
      <c r="B32" t="s">
        <v>178</v>
      </c>
      <c r="C32" t="s">
        <v>148</v>
      </c>
      <c r="D32" t="s">
        <v>149</v>
      </c>
    </row>
    <row r="33" spans="1:4" x14ac:dyDescent="0.3">
      <c r="A33" t="s">
        <v>123</v>
      </c>
      <c r="B33" t="s">
        <v>179</v>
      </c>
      <c r="C33" t="s">
        <v>148</v>
      </c>
      <c r="D33" t="s">
        <v>180</v>
      </c>
    </row>
    <row r="34" spans="1:4" x14ac:dyDescent="0.3">
      <c r="A34" t="s">
        <v>95</v>
      </c>
      <c r="B34" t="s">
        <v>181</v>
      </c>
      <c r="C34" t="s">
        <v>137</v>
      </c>
      <c r="D34" t="s">
        <v>144</v>
      </c>
    </row>
    <row r="35" spans="1:4" x14ac:dyDescent="0.3">
      <c r="A35" t="s">
        <v>104</v>
      </c>
      <c r="B35" t="s">
        <v>182</v>
      </c>
      <c r="C35" t="s">
        <v>137</v>
      </c>
      <c r="D35" t="s">
        <v>144</v>
      </c>
    </row>
    <row r="36" spans="1:4" x14ac:dyDescent="0.3">
      <c r="A36" t="s">
        <v>98</v>
      </c>
      <c r="B36" t="s">
        <v>183</v>
      </c>
      <c r="C36" t="s">
        <v>148</v>
      </c>
      <c r="D36" t="s">
        <v>180</v>
      </c>
    </row>
    <row r="37" spans="1:4" x14ac:dyDescent="0.3">
      <c r="A37" t="s">
        <v>111</v>
      </c>
      <c r="B37" t="s">
        <v>184</v>
      </c>
      <c r="C37" t="s">
        <v>158</v>
      </c>
      <c r="D37" t="s">
        <v>162</v>
      </c>
    </row>
    <row r="38" spans="1:4" x14ac:dyDescent="0.3">
      <c r="A38" t="s">
        <v>81</v>
      </c>
      <c r="B38" t="s">
        <v>185</v>
      </c>
      <c r="C38" t="s">
        <v>127</v>
      </c>
      <c r="D38" t="s">
        <v>142</v>
      </c>
    </row>
    <row r="39" spans="1:4" x14ac:dyDescent="0.3">
      <c r="A39" t="s">
        <v>109</v>
      </c>
      <c r="B39" t="s">
        <v>186</v>
      </c>
      <c r="C39" t="s">
        <v>137</v>
      </c>
      <c r="D39" t="s">
        <v>138</v>
      </c>
    </row>
    <row r="40" spans="1:4" x14ac:dyDescent="0.3">
      <c r="A40" t="s">
        <v>96</v>
      </c>
      <c r="B40" t="s">
        <v>187</v>
      </c>
      <c r="C40" t="s">
        <v>148</v>
      </c>
      <c r="D40" t="s">
        <v>180</v>
      </c>
    </row>
    <row r="41" spans="1:4" x14ac:dyDescent="0.3">
      <c r="A41" t="s">
        <v>121</v>
      </c>
      <c r="B41" t="s">
        <v>188</v>
      </c>
      <c r="C41" t="s">
        <v>148</v>
      </c>
      <c r="D41" t="s">
        <v>149</v>
      </c>
    </row>
    <row r="42" spans="1:4" x14ac:dyDescent="0.3">
      <c r="A42" t="s">
        <v>77</v>
      </c>
      <c r="B42" t="s">
        <v>189</v>
      </c>
      <c r="C42" t="s">
        <v>127</v>
      </c>
      <c r="D42" t="s">
        <v>152</v>
      </c>
    </row>
    <row r="43" spans="1:4" x14ac:dyDescent="0.3">
      <c r="A43" t="s">
        <v>97</v>
      </c>
      <c r="B43" t="s">
        <v>190</v>
      </c>
      <c r="C43" t="s">
        <v>158</v>
      </c>
      <c r="D43" t="s">
        <v>159</v>
      </c>
    </row>
    <row r="44" spans="1:4" x14ac:dyDescent="0.3">
      <c r="A44" t="s">
        <v>80</v>
      </c>
      <c r="B44" t="s">
        <v>191</v>
      </c>
      <c r="C44" t="s">
        <v>127</v>
      </c>
      <c r="D44" t="s">
        <v>140</v>
      </c>
    </row>
    <row r="45" spans="1:4" x14ac:dyDescent="0.3">
      <c r="A45" t="s">
        <v>125</v>
      </c>
      <c r="B45" t="s">
        <v>192</v>
      </c>
      <c r="C45" t="s">
        <v>127</v>
      </c>
      <c r="D45" t="s">
        <v>142</v>
      </c>
    </row>
    <row r="46" spans="1:4" x14ac:dyDescent="0.3">
      <c r="A46" t="s">
        <v>99</v>
      </c>
      <c r="B46" t="s">
        <v>193</v>
      </c>
      <c r="C46" t="s">
        <v>137</v>
      </c>
      <c r="D46" t="s">
        <v>144</v>
      </c>
    </row>
    <row r="47" spans="1:4" x14ac:dyDescent="0.3">
      <c r="A47" t="s">
        <v>89</v>
      </c>
      <c r="B47" t="s">
        <v>194</v>
      </c>
      <c r="C47" t="s">
        <v>127</v>
      </c>
      <c r="D47" t="s">
        <v>152</v>
      </c>
    </row>
    <row r="48" spans="1:4" x14ac:dyDescent="0.3">
      <c r="A48" t="s">
        <v>102</v>
      </c>
      <c r="B48" t="s">
        <v>195</v>
      </c>
      <c r="C48" t="s">
        <v>148</v>
      </c>
      <c r="D48" t="s">
        <v>149</v>
      </c>
    </row>
    <row r="49" spans="1:4" x14ac:dyDescent="0.3">
      <c r="A49" t="s">
        <v>116</v>
      </c>
      <c r="B49" t="s">
        <v>196</v>
      </c>
      <c r="C49" t="s">
        <v>137</v>
      </c>
      <c r="D49" t="s">
        <v>138</v>
      </c>
    </row>
    <row r="50" spans="1:4" x14ac:dyDescent="0.3">
      <c r="A50" t="s">
        <v>117</v>
      </c>
      <c r="B50" t="s">
        <v>197</v>
      </c>
      <c r="C50" t="s">
        <v>158</v>
      </c>
      <c r="D50" t="s">
        <v>162</v>
      </c>
    </row>
    <row r="51" spans="1:4" x14ac:dyDescent="0.3">
      <c r="A51" t="s">
        <v>78</v>
      </c>
      <c r="B51" t="s">
        <v>198</v>
      </c>
      <c r="C51" t="s">
        <v>127</v>
      </c>
      <c r="D51" t="s">
        <v>152</v>
      </c>
    </row>
    <row r="52" spans="1:4" x14ac:dyDescent="0.3">
      <c r="A52" t="s">
        <v>112</v>
      </c>
      <c r="B52" t="s">
        <v>199</v>
      </c>
      <c r="C52" t="s">
        <v>137</v>
      </c>
      <c r="D52" t="s">
        <v>144</v>
      </c>
    </row>
  </sheetData>
  <autoFilter ref="A1:D1" xr:uid="{3298941C-6329-42B8-9F75-304D7E88A0D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E49C-87E1-4E6F-BB07-E4007D65BEF4}">
  <dimension ref="A1:Y59"/>
  <sheetViews>
    <sheetView workbookViewId="0">
      <selection activeCell="L110" sqref="L110"/>
    </sheetView>
  </sheetViews>
  <sheetFormatPr defaultRowHeight="14.4" x14ac:dyDescent="0.3"/>
  <cols>
    <col min="11" max="11" width="10.88671875" customWidth="1"/>
    <col min="12" max="12" width="15.88671875" customWidth="1"/>
  </cols>
  <sheetData>
    <row r="1" spans="1:25" x14ac:dyDescent="0.3">
      <c r="A1" s="32" t="s">
        <v>210</v>
      </c>
      <c r="B1" s="32"/>
      <c r="C1" s="32"/>
      <c r="D1" s="32"/>
      <c r="E1" s="32"/>
      <c r="F1" s="32"/>
      <c r="G1" s="32"/>
      <c r="H1" s="32"/>
      <c r="I1" s="32"/>
      <c r="J1" s="32"/>
      <c r="K1" s="32"/>
      <c r="L1" s="32"/>
      <c r="M1" s="32"/>
      <c r="N1" s="32"/>
      <c r="O1" s="32"/>
      <c r="P1" s="32"/>
      <c r="Q1" s="32"/>
      <c r="R1" s="32"/>
      <c r="S1" s="32"/>
      <c r="T1" s="32"/>
      <c r="U1" s="32"/>
      <c r="V1" s="32"/>
      <c r="W1" s="32"/>
      <c r="X1" s="32"/>
      <c r="Y1" s="32"/>
    </row>
    <row r="2" spans="1:25" x14ac:dyDescent="0.3">
      <c r="A2" s="32"/>
      <c r="B2" s="32"/>
      <c r="C2" s="32"/>
      <c r="D2" s="32"/>
      <c r="E2" s="32"/>
      <c r="F2" s="32"/>
      <c r="G2" s="32"/>
      <c r="H2" s="32"/>
      <c r="I2" s="32"/>
      <c r="J2" s="32"/>
      <c r="K2" s="32"/>
      <c r="L2" s="32"/>
      <c r="M2" s="32"/>
      <c r="N2" s="32"/>
      <c r="O2" s="32"/>
      <c r="P2" s="32"/>
      <c r="Q2" s="32"/>
      <c r="R2" s="32"/>
      <c r="S2" s="32"/>
      <c r="T2" s="32"/>
      <c r="U2" s="32"/>
      <c r="V2" s="32"/>
      <c r="W2" s="32"/>
      <c r="X2" s="32"/>
      <c r="Y2" s="32"/>
    </row>
    <row r="58" spans="1:25" x14ac:dyDescent="0.3">
      <c r="A58" s="33" t="s">
        <v>209</v>
      </c>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x14ac:dyDescent="0.3">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sheetData>
  <mergeCells count="2">
    <mergeCell ref="A1:Y2"/>
    <mergeCell ref="A58:Y5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03324-7295-4E25-9B29-DC51A47D9EE0}">
  <dimension ref="A1:AB189"/>
  <sheetViews>
    <sheetView tabSelected="1" topLeftCell="A121" workbookViewId="0">
      <selection activeCell="A119" sqref="A119"/>
    </sheetView>
  </sheetViews>
  <sheetFormatPr defaultRowHeight="14.4" x14ac:dyDescent="0.3"/>
  <cols>
    <col min="1" max="1" width="29.5546875" customWidth="1"/>
    <col min="2" max="2" width="37.77734375" bestFit="1" customWidth="1"/>
    <col min="3" max="3" width="25" bestFit="1" customWidth="1"/>
    <col min="4" max="4" width="15.44140625" customWidth="1"/>
    <col min="5" max="5" width="24.21875" customWidth="1"/>
    <col min="6" max="6" width="29.5546875" bestFit="1" customWidth="1"/>
    <col min="7" max="7" width="30.77734375" bestFit="1" customWidth="1"/>
    <col min="8" max="8" width="15.109375" customWidth="1"/>
    <col min="9" max="9" width="43.77734375" bestFit="1" customWidth="1"/>
    <col min="10" max="10" width="27.6640625" customWidth="1"/>
    <col min="11" max="11" width="24.109375" customWidth="1"/>
    <col min="14" max="14" width="43.109375" customWidth="1"/>
    <col min="15" max="16" width="24.33203125" customWidth="1"/>
  </cols>
  <sheetData>
    <row r="1" spans="1:7" ht="18" x14ac:dyDescent="0.35">
      <c r="A1" s="8" t="s">
        <v>129</v>
      </c>
    </row>
    <row r="2" spans="1:7" x14ac:dyDescent="0.3">
      <c r="A2" s="28" t="s">
        <v>13</v>
      </c>
    </row>
    <row r="3" spans="1:7" ht="18" x14ac:dyDescent="0.35">
      <c r="A3" s="8"/>
    </row>
    <row r="4" spans="1:7" ht="18" x14ac:dyDescent="0.35">
      <c r="A4" s="8"/>
    </row>
    <row r="7" spans="1:7" x14ac:dyDescent="0.3">
      <c r="A7" s="2" t="s">
        <v>63</v>
      </c>
      <c r="B7" t="s">
        <v>66</v>
      </c>
      <c r="F7" s="2" t="s">
        <v>63</v>
      </c>
      <c r="G7" t="s">
        <v>65</v>
      </c>
    </row>
    <row r="8" spans="1:7" x14ac:dyDescent="0.3">
      <c r="A8" s="3" t="s">
        <v>13</v>
      </c>
      <c r="B8">
        <v>128.20000000000002</v>
      </c>
      <c r="F8" s="3" t="s">
        <v>13</v>
      </c>
      <c r="G8" s="10">
        <v>2814</v>
      </c>
    </row>
    <row r="9" spans="1:7" x14ac:dyDescent="0.3">
      <c r="A9" s="3" t="s">
        <v>0</v>
      </c>
      <c r="B9">
        <v>87.7</v>
      </c>
      <c r="F9" s="3" t="s">
        <v>0</v>
      </c>
      <c r="G9" s="10">
        <v>1803</v>
      </c>
    </row>
    <row r="10" spans="1:7" x14ac:dyDescent="0.3">
      <c r="A10" s="3" t="s">
        <v>64</v>
      </c>
      <c r="B10">
        <v>215.90000000000003</v>
      </c>
      <c r="F10" s="3" t="s">
        <v>64</v>
      </c>
      <c r="G10" s="10">
        <v>4617</v>
      </c>
    </row>
    <row r="24" spans="1:2" s="27" customFormat="1" x14ac:dyDescent="0.3"/>
    <row r="26" spans="1:2" ht="18" x14ac:dyDescent="0.35">
      <c r="A26" s="8" t="s">
        <v>130</v>
      </c>
    </row>
    <row r="27" spans="1:2" x14ac:dyDescent="0.3">
      <c r="A27" s="28" t="s">
        <v>126</v>
      </c>
    </row>
    <row r="30" spans="1:2" x14ac:dyDescent="0.3">
      <c r="A30" s="2" t="s">
        <v>10</v>
      </c>
      <c r="B30" t="s">
        <v>0</v>
      </c>
    </row>
    <row r="32" spans="1:2" x14ac:dyDescent="0.3">
      <c r="A32" s="2" t="s">
        <v>63</v>
      </c>
      <c r="B32" t="s">
        <v>200</v>
      </c>
    </row>
    <row r="33" spans="1:2" x14ac:dyDescent="0.3">
      <c r="A33" s="3" t="s">
        <v>122</v>
      </c>
      <c r="B33">
        <v>9700</v>
      </c>
    </row>
    <row r="34" spans="1:2" x14ac:dyDescent="0.3">
      <c r="A34" s="3" t="s">
        <v>87</v>
      </c>
      <c r="B34">
        <v>54400</v>
      </c>
    </row>
    <row r="35" spans="1:2" x14ac:dyDescent="0.3">
      <c r="A35" s="3" t="s">
        <v>126</v>
      </c>
      <c r="B35">
        <v>345400</v>
      </c>
    </row>
    <row r="36" spans="1:2" x14ac:dyDescent="0.3">
      <c r="A36" s="3" t="s">
        <v>85</v>
      </c>
      <c r="B36">
        <v>13700</v>
      </c>
    </row>
    <row r="37" spans="1:2" x14ac:dyDescent="0.3">
      <c r="A37" s="3" t="s">
        <v>92</v>
      </c>
      <c r="B37">
        <v>77900</v>
      </c>
    </row>
    <row r="38" spans="1:2" x14ac:dyDescent="0.3">
      <c r="A38" s="3" t="s">
        <v>86</v>
      </c>
      <c r="B38">
        <v>45600</v>
      </c>
    </row>
    <row r="39" spans="1:2" x14ac:dyDescent="0.3">
      <c r="A39" s="3" t="s">
        <v>105</v>
      </c>
      <c r="B39">
        <v>48900</v>
      </c>
    </row>
    <row r="40" spans="1:2" x14ac:dyDescent="0.3">
      <c r="A40" s="3" t="s">
        <v>106</v>
      </c>
      <c r="B40">
        <v>51900</v>
      </c>
    </row>
    <row r="41" spans="1:2" x14ac:dyDescent="0.3">
      <c r="A41" s="3" t="s">
        <v>91</v>
      </c>
      <c r="B41">
        <v>105500</v>
      </c>
    </row>
    <row r="42" spans="1:2" x14ac:dyDescent="0.3">
      <c r="A42" s="3" t="s">
        <v>113</v>
      </c>
      <c r="B42">
        <v>67500</v>
      </c>
    </row>
    <row r="43" spans="1:2" x14ac:dyDescent="0.3">
      <c r="A43" s="3" t="s">
        <v>104</v>
      </c>
      <c r="B43">
        <v>32400</v>
      </c>
    </row>
    <row r="44" spans="1:2" x14ac:dyDescent="0.3">
      <c r="A44" s="3" t="s">
        <v>95</v>
      </c>
      <c r="B44">
        <v>19900</v>
      </c>
    </row>
    <row r="45" spans="1:2" x14ac:dyDescent="0.3">
      <c r="A45" s="3" t="s">
        <v>93</v>
      </c>
      <c r="B45">
        <v>75900</v>
      </c>
    </row>
    <row r="46" spans="1:2" x14ac:dyDescent="0.3">
      <c r="A46" s="3" t="s">
        <v>109</v>
      </c>
      <c r="B46">
        <v>42900</v>
      </c>
    </row>
    <row r="47" spans="1:2" x14ac:dyDescent="0.3">
      <c r="A47" s="3" t="s">
        <v>77</v>
      </c>
      <c r="B47">
        <v>36200</v>
      </c>
    </row>
    <row r="48" spans="1:2" x14ac:dyDescent="0.3">
      <c r="A48" s="3" t="s">
        <v>80</v>
      </c>
      <c r="B48">
        <v>65100</v>
      </c>
    </row>
    <row r="49" spans="1:3" x14ac:dyDescent="0.3">
      <c r="A49" s="3" t="s">
        <v>99</v>
      </c>
      <c r="B49">
        <v>27700</v>
      </c>
    </row>
    <row r="50" spans="1:3" x14ac:dyDescent="0.3">
      <c r="A50" s="3" t="s">
        <v>102</v>
      </c>
      <c r="B50">
        <v>9900</v>
      </c>
    </row>
    <row r="51" spans="1:3" x14ac:dyDescent="0.3">
      <c r="A51" s="3" t="s">
        <v>89</v>
      </c>
      <c r="B51">
        <v>66200</v>
      </c>
    </row>
    <row r="52" spans="1:3" x14ac:dyDescent="0.3">
      <c r="A52" s="3" t="s">
        <v>116</v>
      </c>
      <c r="B52">
        <v>89300</v>
      </c>
    </row>
    <row r="53" spans="1:3" x14ac:dyDescent="0.3">
      <c r="A53" s="3" t="s">
        <v>112</v>
      </c>
      <c r="B53">
        <v>6500</v>
      </c>
    </row>
    <row r="54" spans="1:3" x14ac:dyDescent="0.3">
      <c r="A54" s="3" t="s">
        <v>64</v>
      </c>
      <c r="B54">
        <v>1292500</v>
      </c>
    </row>
    <row r="61" spans="1:3" ht="18" x14ac:dyDescent="0.35">
      <c r="A61" s="8" t="s">
        <v>131</v>
      </c>
    </row>
    <row r="62" spans="1:3" ht="72.599999999999994" customHeight="1" x14ac:dyDescent="0.3">
      <c r="A62" s="31" t="s">
        <v>207</v>
      </c>
      <c r="B62" s="31"/>
      <c r="C62" s="31"/>
    </row>
    <row r="65" spans="1:28" ht="28.8" x14ac:dyDescent="0.3">
      <c r="A65" s="26" t="s">
        <v>128</v>
      </c>
      <c r="B65" s="14" t="s">
        <v>132</v>
      </c>
      <c r="C65" s="14" t="s">
        <v>66</v>
      </c>
      <c r="E65" s="9" t="s">
        <v>132</v>
      </c>
      <c r="F65" s="4" t="s">
        <v>66</v>
      </c>
      <c r="AB65" s="7"/>
    </row>
    <row r="66" spans="1:28" x14ac:dyDescent="0.3">
      <c r="A66" t="s">
        <v>107</v>
      </c>
      <c r="B66">
        <v>0.94</v>
      </c>
      <c r="C66">
        <v>4.3</v>
      </c>
      <c r="E66">
        <v>0.94</v>
      </c>
      <c r="F66">
        <v>4.3</v>
      </c>
      <c r="AB66" s="7"/>
    </row>
    <row r="67" spans="1:28" x14ac:dyDescent="0.3">
      <c r="A67" t="s">
        <v>122</v>
      </c>
      <c r="B67">
        <v>0.57999999999999996</v>
      </c>
      <c r="C67">
        <v>8.9</v>
      </c>
      <c r="E67">
        <v>0.57999999999999996</v>
      </c>
      <c r="F67">
        <v>8.9</v>
      </c>
      <c r="AB67" s="7"/>
    </row>
    <row r="68" spans="1:28" x14ac:dyDescent="0.3">
      <c r="A68" t="s">
        <v>87</v>
      </c>
      <c r="B68">
        <v>1.26</v>
      </c>
      <c r="C68">
        <v>2.2999999999999998</v>
      </c>
      <c r="E68">
        <v>1.26</v>
      </c>
      <c r="F68">
        <v>2.2999999999999998</v>
      </c>
      <c r="AB68" s="7"/>
    </row>
    <row r="69" spans="1:28" ht="33" customHeight="1" x14ac:dyDescent="0.3">
      <c r="A69" t="s">
        <v>103</v>
      </c>
      <c r="B69">
        <v>2.37</v>
      </c>
      <c r="C69">
        <v>5.4</v>
      </c>
      <c r="E69">
        <v>2.37</v>
      </c>
      <c r="F69">
        <v>5.4</v>
      </c>
      <c r="AB69" s="7"/>
    </row>
    <row r="70" spans="1:28" x14ac:dyDescent="0.3">
      <c r="A70" t="s">
        <v>126</v>
      </c>
      <c r="B70">
        <v>1.79</v>
      </c>
      <c r="C70">
        <v>2.2999999999999998</v>
      </c>
      <c r="E70">
        <v>1.79</v>
      </c>
      <c r="F70">
        <v>2.2999999999999998</v>
      </c>
      <c r="AB70" s="7"/>
    </row>
    <row r="71" spans="1:28" x14ac:dyDescent="0.3">
      <c r="A71" t="s">
        <v>110</v>
      </c>
      <c r="B71">
        <v>1.22</v>
      </c>
      <c r="C71">
        <v>3.5</v>
      </c>
      <c r="E71">
        <v>1.22</v>
      </c>
      <c r="F71">
        <v>3.5</v>
      </c>
      <c r="AB71" s="7"/>
    </row>
    <row r="72" spans="1:28" x14ac:dyDescent="0.3">
      <c r="A72" t="s">
        <v>108</v>
      </c>
      <c r="B72">
        <v>1.07</v>
      </c>
      <c r="C72">
        <v>2.1</v>
      </c>
      <c r="E72">
        <v>1.07</v>
      </c>
      <c r="F72">
        <v>2.1</v>
      </c>
      <c r="AB72" s="7"/>
    </row>
    <row r="73" spans="1:28" x14ac:dyDescent="0.3">
      <c r="A73" t="s">
        <v>84</v>
      </c>
      <c r="B73">
        <v>1.75</v>
      </c>
      <c r="C73">
        <v>3.1</v>
      </c>
      <c r="E73">
        <v>1.75</v>
      </c>
      <c r="F73">
        <v>3.1</v>
      </c>
      <c r="AB73" s="7"/>
    </row>
    <row r="74" spans="1:28" x14ac:dyDescent="0.3">
      <c r="A74" t="s">
        <v>88</v>
      </c>
      <c r="B74">
        <v>2.38</v>
      </c>
      <c r="C74">
        <v>2.7</v>
      </c>
      <c r="E74">
        <v>2.38</v>
      </c>
      <c r="F74">
        <v>2.7</v>
      </c>
      <c r="AB74" s="7"/>
    </row>
    <row r="75" spans="1:28" x14ac:dyDescent="0.3">
      <c r="A75" t="s">
        <v>120</v>
      </c>
      <c r="B75">
        <v>1.38</v>
      </c>
      <c r="C75">
        <v>2.5</v>
      </c>
      <c r="E75">
        <v>1.38</v>
      </c>
      <c r="F75">
        <v>2.5</v>
      </c>
      <c r="AB75" s="7"/>
    </row>
    <row r="76" spans="1:28" x14ac:dyDescent="0.3">
      <c r="A76" t="s">
        <v>85</v>
      </c>
      <c r="B76">
        <v>0.79</v>
      </c>
      <c r="C76">
        <v>3.4</v>
      </c>
      <c r="E76">
        <v>0.79</v>
      </c>
      <c r="F76">
        <v>3.4</v>
      </c>
      <c r="AB76" s="7"/>
    </row>
    <row r="77" spans="1:28" x14ac:dyDescent="0.3">
      <c r="A77" t="s">
        <v>115</v>
      </c>
      <c r="B77">
        <v>1.08</v>
      </c>
      <c r="C77">
        <v>2.7</v>
      </c>
      <c r="E77">
        <v>1.08</v>
      </c>
      <c r="F77">
        <v>2.7</v>
      </c>
      <c r="AB77" s="7"/>
    </row>
    <row r="78" spans="1:28" x14ac:dyDescent="0.3">
      <c r="A78" t="s">
        <v>82</v>
      </c>
      <c r="B78">
        <v>1.37</v>
      </c>
      <c r="C78">
        <v>2.5</v>
      </c>
      <c r="E78">
        <v>1.37</v>
      </c>
      <c r="F78">
        <v>2.5</v>
      </c>
      <c r="AB78" s="7"/>
    </row>
    <row r="79" spans="1:28" x14ac:dyDescent="0.3">
      <c r="A79" t="s">
        <v>92</v>
      </c>
      <c r="B79">
        <v>1.04</v>
      </c>
      <c r="C79">
        <v>4.2</v>
      </c>
      <c r="E79">
        <v>1.04</v>
      </c>
      <c r="F79">
        <v>4.2</v>
      </c>
      <c r="AB79" s="7"/>
    </row>
    <row r="80" spans="1:28" x14ac:dyDescent="0.3">
      <c r="A80" t="s">
        <v>86</v>
      </c>
      <c r="B80">
        <v>0.98</v>
      </c>
      <c r="C80">
        <v>6.6</v>
      </c>
      <c r="E80">
        <v>0.98</v>
      </c>
      <c r="F80">
        <v>6.6</v>
      </c>
      <c r="AB80" s="7"/>
    </row>
    <row r="81" spans="1:28" x14ac:dyDescent="0.3">
      <c r="A81" t="s">
        <v>114</v>
      </c>
      <c r="B81">
        <v>1.1000000000000001</v>
      </c>
      <c r="C81">
        <v>5.7</v>
      </c>
      <c r="E81">
        <v>1.1000000000000001</v>
      </c>
      <c r="F81">
        <v>5.7</v>
      </c>
      <c r="AB81" s="7"/>
    </row>
    <row r="82" spans="1:28" x14ac:dyDescent="0.3">
      <c r="A82" t="s">
        <v>105</v>
      </c>
      <c r="B82">
        <v>1.24</v>
      </c>
      <c r="C82">
        <v>4.9000000000000004</v>
      </c>
      <c r="E82">
        <v>1.24</v>
      </c>
      <c r="F82">
        <v>4.9000000000000004</v>
      </c>
      <c r="AB82" s="7"/>
    </row>
    <row r="83" spans="1:28" x14ac:dyDescent="0.3">
      <c r="A83" t="s">
        <v>119</v>
      </c>
      <c r="B83">
        <v>2.06</v>
      </c>
      <c r="C83">
        <v>6.4</v>
      </c>
      <c r="E83">
        <v>2.06</v>
      </c>
      <c r="F83">
        <v>6.4</v>
      </c>
      <c r="AB83" s="7"/>
    </row>
    <row r="84" spans="1:28" x14ac:dyDescent="0.3">
      <c r="A84" t="s">
        <v>100</v>
      </c>
      <c r="B84">
        <v>0.8</v>
      </c>
      <c r="C84">
        <v>3.2</v>
      </c>
      <c r="E84">
        <v>0.8</v>
      </c>
      <c r="F84">
        <v>3.2</v>
      </c>
      <c r="AB84" s="7"/>
    </row>
    <row r="85" spans="1:28" x14ac:dyDescent="0.3">
      <c r="A85" t="s">
        <v>106</v>
      </c>
      <c r="B85">
        <v>1.08</v>
      </c>
      <c r="C85">
        <v>2.6</v>
      </c>
      <c r="E85">
        <v>1.08</v>
      </c>
      <c r="F85">
        <v>2.6</v>
      </c>
      <c r="AB85" s="7"/>
    </row>
    <row r="86" spans="1:28" ht="17.399999999999999" customHeight="1" x14ac:dyDescent="0.3">
      <c r="A86" t="s">
        <v>79</v>
      </c>
      <c r="B86">
        <v>1.23</v>
      </c>
      <c r="C86">
        <v>1.4</v>
      </c>
      <c r="E86">
        <v>1.23</v>
      </c>
      <c r="F86">
        <v>1.4</v>
      </c>
      <c r="AB86" s="7"/>
    </row>
    <row r="87" spans="1:28" x14ac:dyDescent="0.3">
      <c r="A87" t="s">
        <v>91</v>
      </c>
      <c r="B87">
        <v>0.45</v>
      </c>
      <c r="C87">
        <v>3.4</v>
      </c>
      <c r="E87">
        <v>0.45</v>
      </c>
      <c r="F87">
        <v>3.4</v>
      </c>
      <c r="AB87" s="7"/>
    </row>
    <row r="88" spans="1:28" x14ac:dyDescent="0.3">
      <c r="A88" t="s">
        <v>113</v>
      </c>
      <c r="B88">
        <v>0.56999999999999995</v>
      </c>
      <c r="C88">
        <v>2.6</v>
      </c>
      <c r="E88">
        <v>0.56999999999999995</v>
      </c>
      <c r="F88">
        <v>2.6</v>
      </c>
      <c r="AB88" s="7"/>
    </row>
    <row r="89" spans="1:28" x14ac:dyDescent="0.3">
      <c r="A89" t="s">
        <v>118</v>
      </c>
      <c r="B89">
        <v>1.1200000000000001</v>
      </c>
      <c r="C89">
        <v>5.5</v>
      </c>
      <c r="E89">
        <v>1.1200000000000001</v>
      </c>
      <c r="F89">
        <v>5.5</v>
      </c>
      <c r="AB89" s="7"/>
    </row>
    <row r="90" spans="1:28" x14ac:dyDescent="0.3">
      <c r="A90" t="s">
        <v>90</v>
      </c>
      <c r="B90">
        <v>1.18</v>
      </c>
      <c r="C90">
        <v>3.3</v>
      </c>
      <c r="E90">
        <v>1.18</v>
      </c>
      <c r="F90">
        <v>3.3</v>
      </c>
      <c r="AB90" s="7"/>
    </row>
    <row r="91" spans="1:28" x14ac:dyDescent="0.3">
      <c r="A91" t="s">
        <v>101</v>
      </c>
      <c r="B91">
        <v>1.35</v>
      </c>
      <c r="C91">
        <v>7.3</v>
      </c>
      <c r="E91">
        <v>1.35</v>
      </c>
      <c r="F91">
        <v>7.3</v>
      </c>
      <c r="AB91" s="7"/>
    </row>
    <row r="92" spans="1:28" x14ac:dyDescent="0.3">
      <c r="A92" t="s">
        <v>83</v>
      </c>
      <c r="B92">
        <v>1.28</v>
      </c>
      <c r="C92">
        <v>5.2</v>
      </c>
      <c r="E92">
        <v>1.28</v>
      </c>
      <c r="F92">
        <v>5.2</v>
      </c>
      <c r="AB92" s="7"/>
    </row>
    <row r="93" spans="1:28" x14ac:dyDescent="0.3">
      <c r="A93" t="s">
        <v>104</v>
      </c>
      <c r="B93">
        <v>0.49</v>
      </c>
      <c r="C93">
        <v>3.6</v>
      </c>
      <c r="E93">
        <v>0.49</v>
      </c>
      <c r="F93">
        <v>3.6</v>
      </c>
      <c r="AB93" s="6"/>
    </row>
    <row r="94" spans="1:28" x14ac:dyDescent="0.3">
      <c r="A94" t="s">
        <v>94</v>
      </c>
      <c r="B94">
        <v>1.19</v>
      </c>
      <c r="C94">
        <v>2.2000000000000002</v>
      </c>
      <c r="E94">
        <v>1.19</v>
      </c>
      <c r="F94">
        <v>2.2000000000000002</v>
      </c>
      <c r="AB94" s="7"/>
    </row>
    <row r="95" spans="1:28" x14ac:dyDescent="0.3">
      <c r="A95" t="s">
        <v>123</v>
      </c>
      <c r="B95">
        <v>1.23</v>
      </c>
      <c r="C95">
        <v>2.4</v>
      </c>
      <c r="E95">
        <v>1.23</v>
      </c>
      <c r="F95">
        <v>2.4</v>
      </c>
      <c r="AB95" s="7"/>
    </row>
    <row r="96" spans="1:28" x14ac:dyDescent="0.3">
      <c r="A96" t="s">
        <v>95</v>
      </c>
      <c r="B96">
        <v>1.91</v>
      </c>
      <c r="C96">
        <v>4.8</v>
      </c>
      <c r="E96">
        <v>1.91</v>
      </c>
      <c r="F96">
        <v>4.8</v>
      </c>
      <c r="AB96" s="7"/>
    </row>
    <row r="97" spans="1:28" x14ac:dyDescent="0.3">
      <c r="A97" t="s">
        <v>98</v>
      </c>
      <c r="B97">
        <v>1.84</v>
      </c>
      <c r="C97">
        <v>2.4</v>
      </c>
      <c r="E97">
        <v>1.84</v>
      </c>
      <c r="F97">
        <v>2.4</v>
      </c>
      <c r="AB97" s="7"/>
    </row>
    <row r="98" spans="1:28" x14ac:dyDescent="0.3">
      <c r="A98" t="s">
        <v>93</v>
      </c>
      <c r="B98">
        <v>0.6</v>
      </c>
      <c r="C98">
        <v>3.5</v>
      </c>
      <c r="E98">
        <v>0.6</v>
      </c>
      <c r="F98">
        <v>3.5</v>
      </c>
      <c r="AB98" s="7"/>
    </row>
    <row r="99" spans="1:28" x14ac:dyDescent="0.3">
      <c r="A99" t="s">
        <v>124</v>
      </c>
      <c r="B99">
        <v>1.1100000000000001</v>
      </c>
      <c r="C99">
        <v>17.7</v>
      </c>
      <c r="E99">
        <v>1.1100000000000001</v>
      </c>
      <c r="F99">
        <v>17.7</v>
      </c>
      <c r="AB99" s="7"/>
    </row>
    <row r="100" spans="1:28" x14ac:dyDescent="0.3">
      <c r="A100" t="s">
        <v>111</v>
      </c>
      <c r="B100">
        <v>1.1200000000000001</v>
      </c>
      <c r="C100">
        <v>3.1</v>
      </c>
      <c r="E100">
        <v>1.1200000000000001</v>
      </c>
      <c r="F100">
        <v>3.1</v>
      </c>
      <c r="AB100" s="7"/>
    </row>
    <row r="101" spans="1:28" x14ac:dyDescent="0.3">
      <c r="A101" t="s">
        <v>81</v>
      </c>
      <c r="B101">
        <v>1.31</v>
      </c>
      <c r="C101">
        <v>6.1</v>
      </c>
      <c r="E101">
        <v>1.31</v>
      </c>
      <c r="F101">
        <v>6.1</v>
      </c>
      <c r="AB101" s="7"/>
    </row>
    <row r="102" spans="1:28" x14ac:dyDescent="0.3">
      <c r="A102" t="s">
        <v>109</v>
      </c>
      <c r="B102">
        <v>0.31</v>
      </c>
      <c r="C102">
        <v>2.6</v>
      </c>
      <c r="E102">
        <v>0.31</v>
      </c>
      <c r="F102">
        <v>2.6</v>
      </c>
      <c r="AB102" s="7"/>
    </row>
    <row r="103" spans="1:28" x14ac:dyDescent="0.3">
      <c r="A103" t="s">
        <v>96</v>
      </c>
      <c r="B103">
        <v>1.25</v>
      </c>
      <c r="C103">
        <v>3.4</v>
      </c>
      <c r="E103">
        <v>1.25</v>
      </c>
      <c r="F103">
        <v>3.4</v>
      </c>
      <c r="AB103" s="7"/>
    </row>
    <row r="104" spans="1:28" x14ac:dyDescent="0.3">
      <c r="A104" t="s">
        <v>121</v>
      </c>
      <c r="B104">
        <v>1.03</v>
      </c>
      <c r="C104">
        <v>1.7</v>
      </c>
      <c r="E104">
        <v>1.03</v>
      </c>
      <c r="F104">
        <v>1.7</v>
      </c>
      <c r="AB104" s="7"/>
    </row>
    <row r="105" spans="1:28" x14ac:dyDescent="0.3">
      <c r="A105" t="s">
        <v>77</v>
      </c>
      <c r="B105">
        <v>1.1100000000000001</v>
      </c>
      <c r="C105">
        <v>3.5</v>
      </c>
      <c r="E105">
        <v>1.1100000000000001</v>
      </c>
      <c r="F105">
        <v>3.5</v>
      </c>
      <c r="AB105" s="7"/>
    </row>
    <row r="106" spans="1:28" x14ac:dyDescent="0.3">
      <c r="A106" t="s">
        <v>97</v>
      </c>
      <c r="B106">
        <v>5.21</v>
      </c>
      <c r="C106">
        <v>6.7</v>
      </c>
      <c r="E106">
        <v>5.21</v>
      </c>
      <c r="F106">
        <v>6.7</v>
      </c>
      <c r="AB106" s="7"/>
    </row>
    <row r="107" spans="1:28" x14ac:dyDescent="0.3">
      <c r="A107" t="s">
        <v>80</v>
      </c>
      <c r="B107">
        <v>0.82</v>
      </c>
      <c r="C107">
        <v>3.8</v>
      </c>
      <c r="E107">
        <v>0.82</v>
      </c>
      <c r="F107">
        <v>3.8</v>
      </c>
      <c r="AB107" s="7"/>
    </row>
    <row r="108" spans="1:28" x14ac:dyDescent="0.3">
      <c r="A108" t="s">
        <v>125</v>
      </c>
      <c r="B108">
        <v>1.36</v>
      </c>
      <c r="C108">
        <v>4.8</v>
      </c>
      <c r="E108">
        <v>1.36</v>
      </c>
      <c r="F108">
        <v>4.8</v>
      </c>
      <c r="AB108" s="7"/>
    </row>
    <row r="109" spans="1:28" x14ac:dyDescent="0.3">
      <c r="A109" t="s">
        <v>99</v>
      </c>
      <c r="B109">
        <v>0.81</v>
      </c>
      <c r="C109">
        <v>3</v>
      </c>
      <c r="E109">
        <v>0.81</v>
      </c>
      <c r="F109">
        <v>3</v>
      </c>
      <c r="AB109" s="7"/>
    </row>
    <row r="110" spans="1:28" x14ac:dyDescent="0.3">
      <c r="A110" t="s">
        <v>102</v>
      </c>
      <c r="B110">
        <v>0.68</v>
      </c>
      <c r="C110">
        <v>3.5</v>
      </c>
      <c r="E110">
        <v>0.68</v>
      </c>
      <c r="F110">
        <v>3.5</v>
      </c>
      <c r="AB110" s="7"/>
    </row>
    <row r="111" spans="1:28" x14ac:dyDescent="0.3">
      <c r="A111" t="s">
        <v>89</v>
      </c>
      <c r="B111">
        <v>0.82</v>
      </c>
      <c r="C111">
        <v>3.8</v>
      </c>
      <c r="E111">
        <v>0.82</v>
      </c>
      <c r="F111">
        <v>3.8</v>
      </c>
      <c r="AB111" s="7"/>
    </row>
    <row r="112" spans="1:28" x14ac:dyDescent="0.3">
      <c r="A112" t="s">
        <v>116</v>
      </c>
      <c r="B112">
        <v>0.5</v>
      </c>
      <c r="C112">
        <v>2.2000000000000002</v>
      </c>
      <c r="E112">
        <v>0.5</v>
      </c>
      <c r="F112">
        <v>2.2000000000000002</v>
      </c>
      <c r="AB112" s="7"/>
    </row>
    <row r="113" spans="1:28" x14ac:dyDescent="0.3">
      <c r="A113" t="s">
        <v>78</v>
      </c>
      <c r="B113">
        <v>1.73</v>
      </c>
      <c r="C113">
        <v>6.9</v>
      </c>
      <c r="E113">
        <v>1.73</v>
      </c>
      <c r="F113">
        <v>6.9</v>
      </c>
      <c r="AB113" s="7"/>
    </row>
    <row r="114" spans="1:28" x14ac:dyDescent="0.3">
      <c r="A114" t="s">
        <v>117</v>
      </c>
      <c r="B114">
        <v>1.04</v>
      </c>
      <c r="C114">
        <v>4</v>
      </c>
      <c r="E114">
        <v>1.04</v>
      </c>
      <c r="F114">
        <v>4</v>
      </c>
      <c r="AB114" s="6"/>
    </row>
    <row r="115" spans="1:28" x14ac:dyDescent="0.3">
      <c r="A115" t="s">
        <v>112</v>
      </c>
      <c r="B115">
        <v>1.01</v>
      </c>
      <c r="C115">
        <v>12.2</v>
      </c>
      <c r="E115">
        <v>1.01</v>
      </c>
      <c r="F115">
        <v>12.2</v>
      </c>
    </row>
    <row r="116" spans="1:28" x14ac:dyDescent="0.3">
      <c r="A116" t="s">
        <v>64</v>
      </c>
      <c r="B116">
        <v>1.2387999999999999</v>
      </c>
      <c r="C116">
        <v>215.9</v>
      </c>
    </row>
    <row r="119" spans="1:28" ht="18" x14ac:dyDescent="0.35">
      <c r="A119" s="8" t="s">
        <v>211</v>
      </c>
    </row>
    <row r="123" spans="1:28" ht="43.2" x14ac:dyDescent="0.3">
      <c r="A123" s="24" t="s">
        <v>128</v>
      </c>
      <c r="B123" s="24" t="s">
        <v>134</v>
      </c>
      <c r="C123" s="24" t="s">
        <v>10</v>
      </c>
      <c r="D123" s="1" t="s">
        <v>65</v>
      </c>
      <c r="E123" s="1" t="s">
        <v>200</v>
      </c>
      <c r="F123" s="1" t="s">
        <v>201</v>
      </c>
    </row>
    <row r="124" spans="1:28" x14ac:dyDescent="0.3">
      <c r="A124" t="s">
        <v>103</v>
      </c>
      <c r="B124" t="s">
        <v>127</v>
      </c>
      <c r="C124" t="s">
        <v>13</v>
      </c>
      <c r="D124" s="25">
        <v>63</v>
      </c>
      <c r="E124" s="10">
        <v>26600</v>
      </c>
      <c r="F124" s="11">
        <v>2569</v>
      </c>
    </row>
    <row r="125" spans="1:28" x14ac:dyDescent="0.3">
      <c r="A125" t="s">
        <v>126</v>
      </c>
      <c r="B125" t="s">
        <v>137</v>
      </c>
      <c r="C125" t="s">
        <v>0</v>
      </c>
      <c r="D125" s="25">
        <v>375</v>
      </c>
      <c r="E125" s="10">
        <v>345400</v>
      </c>
      <c r="F125" s="11">
        <v>6422</v>
      </c>
    </row>
    <row r="126" spans="1:28" x14ac:dyDescent="0.3">
      <c r="A126" t="s">
        <v>105</v>
      </c>
      <c r="B126" t="s">
        <v>127</v>
      </c>
      <c r="C126" t="s">
        <v>0</v>
      </c>
      <c r="D126" s="25">
        <v>91</v>
      </c>
      <c r="E126" s="10">
        <v>48900</v>
      </c>
      <c r="F126" s="11">
        <v>3254</v>
      </c>
    </row>
    <row r="127" spans="1:28" x14ac:dyDescent="0.3">
      <c r="A127" t="s">
        <v>83</v>
      </c>
      <c r="B127" t="s">
        <v>158</v>
      </c>
      <c r="C127" t="s">
        <v>13</v>
      </c>
      <c r="D127" s="25">
        <v>48</v>
      </c>
      <c r="E127" s="10">
        <v>24300</v>
      </c>
      <c r="F127" s="11">
        <v>2565</v>
      </c>
    </row>
    <row r="128" spans="1:28" x14ac:dyDescent="0.3">
      <c r="A128" t="s">
        <v>124</v>
      </c>
      <c r="B128" t="s">
        <v>158</v>
      </c>
      <c r="C128" t="s">
        <v>13</v>
      </c>
      <c r="D128" s="25">
        <v>65</v>
      </c>
      <c r="E128" s="10"/>
      <c r="F128" s="11">
        <v>3045</v>
      </c>
    </row>
    <row r="129" spans="1:6" x14ac:dyDescent="0.3">
      <c r="A129" t="s">
        <v>64</v>
      </c>
      <c r="D129" s="25">
        <v>642</v>
      </c>
      <c r="E129" s="10">
        <v>445200</v>
      </c>
      <c r="F129" s="11">
        <v>17855</v>
      </c>
    </row>
    <row r="134" spans="1:6" ht="18" x14ac:dyDescent="0.35">
      <c r="A134" s="8" t="s">
        <v>208</v>
      </c>
    </row>
    <row r="135" spans="1:6" ht="33.6" customHeight="1" x14ac:dyDescent="0.3">
      <c r="A135" s="30" t="s">
        <v>202</v>
      </c>
      <c r="B135" s="30"/>
      <c r="C135" s="30"/>
    </row>
    <row r="136" spans="1:6" x14ac:dyDescent="0.3">
      <c r="A136" s="29" t="s">
        <v>203</v>
      </c>
      <c r="B136" s="29"/>
      <c r="C136" s="29"/>
    </row>
    <row r="139" spans="1:6" x14ac:dyDescent="0.3">
      <c r="A139" t="s">
        <v>6</v>
      </c>
      <c r="B139" t="s">
        <v>8</v>
      </c>
      <c r="C139" t="s">
        <v>10</v>
      </c>
    </row>
    <row r="140" spans="1:6" x14ac:dyDescent="0.3">
      <c r="A140">
        <v>1798</v>
      </c>
      <c r="B140">
        <v>7</v>
      </c>
      <c r="C140" t="s">
        <v>13</v>
      </c>
    </row>
    <row r="141" spans="1:6" x14ac:dyDescent="0.3">
      <c r="A141">
        <v>1929</v>
      </c>
      <c r="B141">
        <v>33</v>
      </c>
      <c r="C141" t="s">
        <v>13</v>
      </c>
    </row>
    <row r="142" spans="1:6" x14ac:dyDescent="0.3">
      <c r="A142">
        <v>1872</v>
      </c>
      <c r="B142">
        <v>19</v>
      </c>
      <c r="C142" t="s">
        <v>13</v>
      </c>
    </row>
    <row r="143" spans="1:6" x14ac:dyDescent="0.3">
      <c r="A143">
        <v>1876</v>
      </c>
      <c r="B143">
        <v>74</v>
      </c>
      <c r="C143" t="s">
        <v>13</v>
      </c>
    </row>
    <row r="144" spans="1:6" x14ac:dyDescent="0.3">
      <c r="A144">
        <v>2565</v>
      </c>
      <c r="B144">
        <v>9</v>
      </c>
      <c r="C144" t="s">
        <v>13</v>
      </c>
    </row>
    <row r="145" spans="1:3" x14ac:dyDescent="0.3">
      <c r="A145">
        <v>2406</v>
      </c>
      <c r="B145">
        <v>5</v>
      </c>
      <c r="C145" t="s">
        <v>13</v>
      </c>
    </row>
    <row r="146" spans="1:3" x14ac:dyDescent="0.3">
      <c r="A146">
        <v>1821</v>
      </c>
      <c r="B146">
        <v>60</v>
      </c>
      <c r="C146" t="s">
        <v>13</v>
      </c>
    </row>
    <row r="147" spans="1:3" x14ac:dyDescent="0.3">
      <c r="A147">
        <v>1931</v>
      </c>
      <c r="B147">
        <v>26</v>
      </c>
      <c r="C147" t="s">
        <v>13</v>
      </c>
    </row>
    <row r="148" spans="1:3" x14ac:dyDescent="0.3">
      <c r="A148">
        <v>2243</v>
      </c>
      <c r="B148">
        <v>7</v>
      </c>
      <c r="C148" t="s">
        <v>13</v>
      </c>
    </row>
    <row r="149" spans="1:3" x14ac:dyDescent="0.3">
      <c r="A149">
        <v>1916</v>
      </c>
      <c r="B149">
        <v>57</v>
      </c>
      <c r="C149" t="s">
        <v>13</v>
      </c>
    </row>
    <row r="150" spans="1:3" x14ac:dyDescent="0.3">
      <c r="A150">
        <v>2346</v>
      </c>
      <c r="B150">
        <v>0</v>
      </c>
      <c r="C150" t="s">
        <v>13</v>
      </c>
    </row>
    <row r="151" spans="1:3" x14ac:dyDescent="0.3">
      <c r="A151">
        <v>2016</v>
      </c>
      <c r="B151">
        <v>105</v>
      </c>
      <c r="C151" t="s">
        <v>13</v>
      </c>
    </row>
    <row r="152" spans="1:3" x14ac:dyDescent="0.3">
      <c r="A152">
        <v>2083</v>
      </c>
      <c r="B152">
        <v>8</v>
      </c>
      <c r="C152" t="s">
        <v>13</v>
      </c>
    </row>
    <row r="153" spans="1:3" x14ac:dyDescent="0.3">
      <c r="A153">
        <v>1983</v>
      </c>
      <c r="B153">
        <v>7</v>
      </c>
      <c r="C153" t="s">
        <v>13</v>
      </c>
    </row>
    <row r="154" spans="1:3" x14ac:dyDescent="0.3">
      <c r="A154">
        <v>2569</v>
      </c>
      <c r="B154">
        <v>9</v>
      </c>
      <c r="C154" t="s">
        <v>13</v>
      </c>
    </row>
    <row r="155" spans="1:3" x14ac:dyDescent="0.3">
      <c r="A155">
        <v>1803</v>
      </c>
      <c r="B155">
        <v>24</v>
      </c>
      <c r="C155" t="s">
        <v>13</v>
      </c>
    </row>
    <row r="156" spans="1:3" x14ac:dyDescent="0.3">
      <c r="A156">
        <v>1735</v>
      </c>
      <c r="B156">
        <v>24</v>
      </c>
      <c r="C156" t="s">
        <v>13</v>
      </c>
    </row>
    <row r="157" spans="1:3" x14ac:dyDescent="0.3">
      <c r="A157">
        <v>1649</v>
      </c>
      <c r="B157">
        <v>28</v>
      </c>
      <c r="C157" t="s">
        <v>13</v>
      </c>
    </row>
    <row r="158" spans="1:3" x14ac:dyDescent="0.3">
      <c r="A158">
        <v>2156</v>
      </c>
      <c r="B158">
        <v>53</v>
      </c>
      <c r="C158" t="s">
        <v>13</v>
      </c>
    </row>
    <row r="159" spans="1:3" x14ac:dyDescent="0.3">
      <c r="A159">
        <v>1971</v>
      </c>
      <c r="B159">
        <v>16</v>
      </c>
      <c r="C159" t="s">
        <v>13</v>
      </c>
    </row>
    <row r="160" spans="1:3" x14ac:dyDescent="0.3">
      <c r="A160">
        <v>1449</v>
      </c>
      <c r="B160">
        <v>9</v>
      </c>
      <c r="C160" t="s">
        <v>13</v>
      </c>
    </row>
    <row r="161" spans="1:3" x14ac:dyDescent="0.3">
      <c r="A161">
        <v>2207</v>
      </c>
      <c r="B161">
        <v>36</v>
      </c>
      <c r="C161" t="s">
        <v>13</v>
      </c>
    </row>
    <row r="162" spans="1:3" x14ac:dyDescent="0.3">
      <c r="A162">
        <v>1515</v>
      </c>
      <c r="B162">
        <v>14</v>
      </c>
      <c r="C162" t="s">
        <v>13</v>
      </c>
    </row>
    <row r="163" spans="1:3" x14ac:dyDescent="0.3">
      <c r="A163">
        <v>1765</v>
      </c>
      <c r="B163">
        <v>16</v>
      </c>
      <c r="C163" t="s">
        <v>13</v>
      </c>
    </row>
    <row r="164" spans="1:3" x14ac:dyDescent="0.3">
      <c r="A164">
        <v>2061</v>
      </c>
      <c r="B164">
        <v>49</v>
      </c>
      <c r="C164" t="s">
        <v>13</v>
      </c>
    </row>
    <row r="165" spans="1:3" x14ac:dyDescent="0.3">
      <c r="A165">
        <v>2023</v>
      </c>
      <c r="B165">
        <v>7</v>
      </c>
      <c r="C165" t="s">
        <v>13</v>
      </c>
    </row>
    <row r="166" spans="1:3" x14ac:dyDescent="0.3">
      <c r="A166">
        <v>2151</v>
      </c>
      <c r="B166">
        <v>67</v>
      </c>
      <c r="C166" t="s">
        <v>13</v>
      </c>
    </row>
    <row r="167" spans="1:3" x14ac:dyDescent="0.3">
      <c r="A167">
        <v>3045</v>
      </c>
      <c r="B167">
        <v>8</v>
      </c>
      <c r="C167" t="s">
        <v>13</v>
      </c>
    </row>
    <row r="168" spans="1:3" x14ac:dyDescent="0.3">
      <c r="A168">
        <v>2187</v>
      </c>
      <c r="B168">
        <v>98</v>
      </c>
      <c r="C168" t="s">
        <v>13</v>
      </c>
    </row>
    <row r="169" spans="1:3" x14ac:dyDescent="0.3">
      <c r="A169">
        <v>492</v>
      </c>
      <c r="B169">
        <v>24</v>
      </c>
      <c r="C169" t="s">
        <v>0</v>
      </c>
    </row>
    <row r="170" spans="1:3" x14ac:dyDescent="0.3">
      <c r="A170">
        <v>727</v>
      </c>
      <c r="B170">
        <v>30</v>
      </c>
      <c r="C170" t="s">
        <v>0</v>
      </c>
    </row>
    <row r="171" spans="1:3" x14ac:dyDescent="0.3">
      <c r="A171">
        <v>964</v>
      </c>
      <c r="B171">
        <v>20</v>
      </c>
      <c r="C171" t="s">
        <v>0</v>
      </c>
    </row>
    <row r="172" spans="1:3" x14ac:dyDescent="0.3">
      <c r="A172">
        <v>790</v>
      </c>
      <c r="B172">
        <v>26</v>
      </c>
      <c r="C172" t="s">
        <v>0</v>
      </c>
    </row>
    <row r="173" spans="1:3" x14ac:dyDescent="0.3">
      <c r="A173">
        <v>891</v>
      </c>
      <c r="B173">
        <v>30</v>
      </c>
      <c r="C173" t="s">
        <v>0</v>
      </c>
    </row>
    <row r="174" spans="1:3" x14ac:dyDescent="0.3">
      <c r="A174">
        <v>726</v>
      </c>
      <c r="B174">
        <v>48</v>
      </c>
      <c r="C174" t="s">
        <v>0</v>
      </c>
    </row>
    <row r="175" spans="1:3" x14ac:dyDescent="0.3">
      <c r="A175">
        <v>542</v>
      </c>
      <c r="B175">
        <v>63</v>
      </c>
      <c r="C175" t="s">
        <v>0</v>
      </c>
    </row>
    <row r="176" spans="1:3" x14ac:dyDescent="0.3">
      <c r="A176">
        <v>1054</v>
      </c>
      <c r="B176">
        <v>39</v>
      </c>
      <c r="C176" t="s">
        <v>0</v>
      </c>
    </row>
    <row r="177" spans="1:3" x14ac:dyDescent="0.3">
      <c r="A177">
        <v>996</v>
      </c>
      <c r="B177">
        <v>104</v>
      </c>
      <c r="C177" t="s">
        <v>0</v>
      </c>
    </row>
    <row r="178" spans="1:3" x14ac:dyDescent="0.3">
      <c r="A178">
        <v>998</v>
      </c>
      <c r="B178">
        <v>9</v>
      </c>
      <c r="C178" t="s">
        <v>0</v>
      </c>
    </row>
    <row r="179" spans="1:3" x14ac:dyDescent="0.3">
      <c r="A179">
        <v>1053</v>
      </c>
      <c r="B179">
        <v>22</v>
      </c>
      <c r="C179" t="s">
        <v>0</v>
      </c>
    </row>
    <row r="180" spans="1:3" x14ac:dyDescent="0.3">
      <c r="A180">
        <v>1008</v>
      </c>
      <c r="B180">
        <v>9</v>
      </c>
      <c r="C180" t="s">
        <v>0</v>
      </c>
    </row>
    <row r="181" spans="1:3" x14ac:dyDescent="0.3">
      <c r="A181">
        <v>2133</v>
      </c>
      <c r="B181">
        <v>44</v>
      </c>
      <c r="C181" t="s">
        <v>0</v>
      </c>
    </row>
    <row r="182" spans="1:3" x14ac:dyDescent="0.3">
      <c r="A182">
        <v>3254</v>
      </c>
      <c r="B182">
        <v>39</v>
      </c>
      <c r="C182" t="s">
        <v>0</v>
      </c>
    </row>
    <row r="183" spans="1:3" x14ac:dyDescent="0.3">
      <c r="A183">
        <v>685</v>
      </c>
      <c r="B183">
        <v>48</v>
      </c>
      <c r="C183" t="s">
        <v>0</v>
      </c>
    </row>
    <row r="184" spans="1:3" x14ac:dyDescent="0.3">
      <c r="A184">
        <v>363</v>
      </c>
      <c r="B184">
        <v>75</v>
      </c>
      <c r="C184" t="s">
        <v>0</v>
      </c>
    </row>
    <row r="185" spans="1:3" x14ac:dyDescent="0.3">
      <c r="A185">
        <v>1777</v>
      </c>
      <c r="B185">
        <v>9</v>
      </c>
      <c r="C185" t="s">
        <v>0</v>
      </c>
    </row>
    <row r="186" spans="1:3" x14ac:dyDescent="0.3">
      <c r="A186">
        <v>768</v>
      </c>
      <c r="B186">
        <v>58</v>
      </c>
      <c r="C186" t="s">
        <v>0</v>
      </c>
    </row>
    <row r="187" spans="1:3" x14ac:dyDescent="0.3">
      <c r="A187">
        <v>791</v>
      </c>
      <c r="B187">
        <v>111</v>
      </c>
      <c r="C187" t="s">
        <v>0</v>
      </c>
    </row>
    <row r="188" spans="1:3" x14ac:dyDescent="0.3">
      <c r="A188">
        <v>889</v>
      </c>
      <c r="B188">
        <v>11</v>
      </c>
      <c r="C188" t="s">
        <v>0</v>
      </c>
    </row>
    <row r="189" spans="1:3" x14ac:dyDescent="0.3">
      <c r="A189">
        <v>6422</v>
      </c>
      <c r="B189">
        <v>216</v>
      </c>
      <c r="C189" t="s">
        <v>0</v>
      </c>
    </row>
  </sheetData>
  <mergeCells count="3">
    <mergeCell ref="A62:C62"/>
    <mergeCell ref="A135:C135"/>
    <mergeCell ref="A136:C136"/>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Edited Data</vt:lpstr>
      <vt:lpstr>Table</vt:lpstr>
      <vt:lpstr>Descriptive Statistics</vt:lpstr>
      <vt:lpstr>US Census Bureau Regions</vt:lpstr>
      <vt:lpstr>Analysis Dashboard</vt:lpstr>
      <vt:lpstr>Analysis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Angelica Butler</dc:creator>
  <cp:lastModifiedBy>Angelica Butler</cp:lastModifiedBy>
  <dcterms:created xsi:type="dcterms:W3CDTF">2024-04-23T23:24:28Z</dcterms:created>
  <dcterms:modified xsi:type="dcterms:W3CDTF">2024-04-27T01:55:58Z</dcterms:modified>
</cp:coreProperties>
</file>