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lly\Documents\ColoradoRiverInverts\"/>
    </mc:Choice>
  </mc:AlternateContent>
  <xr:revisionPtr revIDLastSave="0" documentId="13_ncr:1_{6015A51E-391F-40CE-A024-11B67AF63582}" xr6:coauthVersionLast="47" xr6:coauthVersionMax="47" xr10:uidLastSave="{00000000-0000-0000-0000-000000000000}"/>
  <bookViews>
    <workbookView xWindow="5064" yWindow="2268" windowWidth="17280" windowHeight="8976" firstSheet="5" activeTab="7" xr2:uid="{5BBB9DFD-573C-4E7C-88D7-10047BA5B2E6}"/>
  </bookViews>
  <sheets>
    <sheet name="To Read" sheetId="4" r:id="rId1"/>
    <sheet name="Sheet1" sheetId="1" r:id="rId2"/>
    <sheet name="Length-Mass relationships" sheetId="2" r:id="rId3"/>
    <sheet name="Temperature Realtionship Baetid" sheetId="3" r:id="rId4"/>
    <sheet name="Recolonization Rates" sheetId="5" r:id="rId5"/>
    <sheet name="Sheet2" sheetId="8" r:id="rId6"/>
    <sheet name="Fecundity" sheetId="7" r:id="rId7"/>
    <sheet name="Mortality Rates" sheetId="6" r:id="rId8"/>
    <sheet name="Baetid Mortality Rates" sheetId="10" r:id="rId9"/>
    <sheet name="NZMS Mortality Rates" sheetId="11" r:id="rId10"/>
    <sheet name="Hydropsyche Mortality Rates" sheetId="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1" l="1"/>
  <c r="F12" i="10"/>
  <c r="F11" i="10"/>
  <c r="C12" i="10"/>
  <c r="C11" i="10"/>
  <c r="C10" i="10"/>
  <c r="F10" i="10"/>
  <c r="F9" i="10"/>
  <c r="C9" i="10"/>
  <c r="C8" i="10"/>
  <c r="F5" i="10"/>
  <c r="F6" i="10"/>
  <c r="F7" i="10"/>
  <c r="F8" i="10"/>
  <c r="C7" i="10"/>
  <c r="C6" i="10"/>
  <c r="C5" i="10"/>
  <c r="C4" i="10"/>
  <c r="F4" i="10"/>
  <c r="F3" i="10"/>
  <c r="C3" i="10"/>
  <c r="C2" i="10"/>
  <c r="F2" i="10"/>
  <c r="F5" i="11"/>
  <c r="F6" i="11"/>
  <c r="C6" i="11"/>
  <c r="C5" i="11"/>
  <c r="F3" i="11"/>
  <c r="F4" i="11"/>
  <c r="C4" i="11"/>
  <c r="C3" i="11"/>
  <c r="F2" i="11"/>
  <c r="C2" i="11"/>
  <c r="F6" i="9"/>
  <c r="F5" i="9"/>
  <c r="C6" i="9"/>
  <c r="C5" i="9"/>
  <c r="F4" i="9"/>
  <c r="F3" i="9"/>
  <c r="F2" i="9"/>
  <c r="J18" i="6"/>
  <c r="J19" i="6"/>
  <c r="J20" i="6"/>
  <c r="J21" i="6"/>
  <c r="J22" i="6"/>
  <c r="J23" i="6"/>
  <c r="J24" i="6"/>
  <c r="J25" i="6"/>
  <c r="J26" i="6"/>
  <c r="J17" i="6"/>
  <c r="J16" i="6"/>
  <c r="J15" i="6"/>
  <c r="J10" i="6"/>
  <c r="J11" i="6"/>
  <c r="J12" i="6"/>
  <c r="J13" i="6"/>
  <c r="J14" i="6"/>
  <c r="J9" i="6"/>
  <c r="J28" i="6"/>
  <c r="J29" i="6"/>
  <c r="J30" i="6"/>
  <c r="J31" i="6"/>
  <c r="J32" i="6"/>
  <c r="J27" i="6"/>
  <c r="H71" i="6"/>
  <c r="H72" i="6"/>
  <c r="H70" i="6"/>
  <c r="H69" i="6"/>
  <c r="G70" i="6"/>
  <c r="G69" i="6"/>
  <c r="H65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H33" i="6"/>
  <c r="G33" i="6"/>
  <c r="G28" i="6"/>
  <c r="G29" i="6"/>
  <c r="G30" i="6"/>
  <c r="H30" i="6" s="1"/>
  <c r="G31" i="6"/>
  <c r="H31" i="6" s="1"/>
  <c r="G32" i="6"/>
  <c r="H27" i="6"/>
  <c r="H28" i="6"/>
  <c r="H29" i="6"/>
  <c r="H32" i="6"/>
  <c r="G27" i="6"/>
  <c r="H16" i="6"/>
  <c r="H17" i="6"/>
  <c r="H18" i="6"/>
  <c r="H19" i="6"/>
  <c r="H20" i="6"/>
  <c r="H21" i="6"/>
  <c r="H22" i="6"/>
  <c r="H23" i="6"/>
  <c r="H24" i="6"/>
  <c r="H25" i="6"/>
  <c r="H26" i="6"/>
  <c r="H15" i="6"/>
  <c r="G26" i="6"/>
  <c r="G25" i="6"/>
  <c r="G24" i="6"/>
  <c r="G23" i="6"/>
  <c r="G22" i="6"/>
  <c r="G21" i="6"/>
  <c r="G20" i="6"/>
  <c r="G19" i="6"/>
  <c r="G18" i="6"/>
  <c r="G17" i="6"/>
  <c r="G16" i="6"/>
  <c r="G15" i="6"/>
  <c r="D29" i="6"/>
  <c r="D27" i="6"/>
  <c r="D28" i="6"/>
  <c r="C17" i="6"/>
  <c r="H8" i="7"/>
  <c r="G8" i="7"/>
</calcChain>
</file>

<file path=xl/sharedStrings.xml><?xml version="1.0" encoding="utf-8"?>
<sst xmlns="http://schemas.openxmlformats.org/spreadsheetml/2006/main" count="782" uniqueCount="325">
  <si>
    <t>Species</t>
  </si>
  <si>
    <t>Eggs</t>
  </si>
  <si>
    <t>Larval</t>
  </si>
  <si>
    <t>emerged in 9-11 days</t>
  </si>
  <si>
    <t>6 days</t>
  </si>
  <si>
    <t>hatched in 1-2 days</t>
  </si>
  <si>
    <t xml:space="preserve">Temp </t>
  </si>
  <si>
    <t>17-25 C</t>
  </si>
  <si>
    <t>Baetis quilleri</t>
  </si>
  <si>
    <t>Citation</t>
  </si>
  <si>
    <t>Degree Days</t>
  </si>
  <si>
    <t>completed development in 180-310 deg-days</t>
  </si>
  <si>
    <t>However, total deg-days per generation for the desert species (1000-1100) are only slightly less than that of temperate species (1300) (Cummins, 1974). Fremling (1960) recorded a developmental time of 51 days for Cheumatopsyche campyla</t>
  </si>
  <si>
    <t>Chironomids</t>
  </si>
  <si>
    <t>hatched in 2 days</t>
  </si>
  <si>
    <t>6 - 13 days</t>
  </si>
  <si>
    <t>Pupae</t>
  </si>
  <si>
    <t>1 days</t>
  </si>
  <si>
    <t>Subimago/Adult</t>
  </si>
  <si>
    <t>emerged in 9-16 days</t>
  </si>
  <si>
    <t>200-330</t>
  </si>
  <si>
    <t>Chneumatopsyche arizonensis</t>
  </si>
  <si>
    <t>% loss after flood (mean)</t>
  </si>
  <si>
    <t>Gray (http://www.nativefishlab.net/library/textpdf/19209.pdf)</t>
  </si>
  <si>
    <t>Equation</t>
  </si>
  <si>
    <t>b</t>
  </si>
  <si>
    <t>Params</t>
  </si>
  <si>
    <t>a +/- SE</t>
  </si>
  <si>
    <t>b +/- SE</t>
  </si>
  <si>
    <t>Amphipoda</t>
  </si>
  <si>
    <r>
      <t>DM = aL</t>
    </r>
    <r>
      <rPr>
        <vertAlign val="superscript"/>
        <sz val="11"/>
        <color theme="1"/>
        <rFont val="Calibri"/>
        <family val="2"/>
        <scheme val="minor"/>
      </rPr>
      <t>b</t>
    </r>
  </si>
  <si>
    <t>3.015 + 0.087</t>
  </si>
  <si>
    <t>0.0058 + 0.0014</t>
  </si>
  <si>
    <t>Beatidae</t>
  </si>
  <si>
    <t>2.875 + 0.131</t>
  </si>
  <si>
    <t>0.0053 + 0.0010</t>
  </si>
  <si>
    <t>Hydropsychidae</t>
  </si>
  <si>
    <t>2.926 + 0.151</t>
  </si>
  <si>
    <t>0.0046 + 0.0007</t>
  </si>
  <si>
    <t>Taxon</t>
  </si>
  <si>
    <t>Chironomidae</t>
  </si>
  <si>
    <t>2.617 + 0.067</t>
  </si>
  <si>
    <t>0.0018 + 0.0004</t>
  </si>
  <si>
    <t>Simuliidae</t>
  </si>
  <si>
    <t>3.011 + 0.153</t>
  </si>
  <si>
    <t>0.0020 + 0.0006</t>
  </si>
  <si>
    <t>Benke et al., 1999</t>
  </si>
  <si>
    <t>Treatment</t>
  </si>
  <si>
    <t>Mean % survivorship</t>
  </si>
  <si>
    <t>SE Mean % survivorship</t>
  </si>
  <si>
    <t>Mean Median Devel Time (d)</t>
  </si>
  <si>
    <t>SE Mean Meadian Devel Time (d)</t>
  </si>
  <si>
    <t>Mean development rate</t>
  </si>
  <si>
    <t>SE development rate</t>
  </si>
  <si>
    <t>Beatidae: Cloeon dipterum</t>
  </si>
  <si>
    <t>DM(mg) = mx + b</t>
  </si>
  <si>
    <t xml:space="preserve">m </t>
  </si>
  <si>
    <t xml:space="preserve">b </t>
  </si>
  <si>
    <t>Males</t>
  </si>
  <si>
    <t>Females</t>
  </si>
  <si>
    <t xml:space="preserve">Baetidae (Cloeon dipterum) </t>
  </si>
  <si>
    <t xml:space="preserve">y = mx + b where y = female wing length and x = fecundity </t>
  </si>
  <si>
    <t>m</t>
  </si>
  <si>
    <t>Sweeney et al., 2017</t>
  </si>
  <si>
    <t>Sweeney et al., 2018</t>
  </si>
  <si>
    <t>Source</t>
  </si>
  <si>
    <t>Lytle 2002 Flash Floods</t>
  </si>
  <si>
    <t>Cohen 1966</t>
  </si>
  <si>
    <t>Venable and Lawlor 1980</t>
  </si>
  <si>
    <t>Sasaki and Ellner 1995</t>
  </si>
  <si>
    <t>Cohen 1971</t>
  </si>
  <si>
    <t>King and Roughgarden 1982</t>
  </si>
  <si>
    <t>Kozlowski and Weigert 1987</t>
  </si>
  <si>
    <t>Rowe and Ludwig 1991</t>
  </si>
  <si>
    <t>Ludwig and Rowe 1990</t>
  </si>
  <si>
    <t>Nijhout 1981</t>
  </si>
  <si>
    <t>Vannote</t>
  </si>
  <si>
    <t>Benke 1998</t>
  </si>
  <si>
    <t>Jorgenson et al 1992</t>
  </si>
  <si>
    <t>Taxa</t>
  </si>
  <si>
    <t>Drift (no/day * m2)</t>
  </si>
  <si>
    <t>Upstream (no/day * m2)</t>
  </si>
  <si>
    <t>Aerial (no/day * m2)</t>
  </si>
  <si>
    <t>Vertical (no/day * m2)</t>
  </si>
  <si>
    <t>Season</t>
  </si>
  <si>
    <t>summer flood</t>
  </si>
  <si>
    <t>Chironomidae (Corynoneura)</t>
  </si>
  <si>
    <t>Chironomidae (Dicrotendipes)</t>
  </si>
  <si>
    <t>Chironomidae (Tribelos)</t>
  </si>
  <si>
    <t>Chrionomidae (Pentaneurini)</t>
  </si>
  <si>
    <t>less than 1</t>
  </si>
  <si>
    <t>less that 1</t>
  </si>
  <si>
    <t>Oligocheata</t>
  </si>
  <si>
    <t>Simuliidae (Simulium)</t>
  </si>
  <si>
    <t>winter flood</t>
  </si>
  <si>
    <t>Chironomidae (Pentaneurini)</t>
  </si>
  <si>
    <t>Gray and Fisher, 1981</t>
  </si>
  <si>
    <t>Biomass (mg dry wt/m2)</t>
  </si>
  <si>
    <t>Months after August 1977 Flood</t>
  </si>
  <si>
    <t>Ephemeroptera</t>
  </si>
  <si>
    <t>Trichoptera</t>
  </si>
  <si>
    <t>Site</t>
  </si>
  <si>
    <t>B</t>
  </si>
  <si>
    <t>Diptera</t>
  </si>
  <si>
    <t>Density (no/m2)</t>
  </si>
  <si>
    <t>A</t>
  </si>
  <si>
    <t>Molles, 1981</t>
  </si>
  <si>
    <t>Invertebrates</t>
  </si>
  <si>
    <t>Mortality</t>
  </si>
  <si>
    <t>&gt;90%</t>
  </si>
  <si>
    <t>&gt;8</t>
  </si>
  <si>
    <t>Max Discharge m3/s</t>
  </si>
  <si>
    <t>Grimm and Fisher, 1985</t>
  </si>
  <si>
    <t>Slope to reach 40,000 inds/m2</t>
  </si>
  <si>
    <t>Times (days) to reach 40000 inds/m2</t>
  </si>
  <si>
    <t>Max Inds/m2</t>
  </si>
  <si>
    <t>1.33 + 0.56</t>
  </si>
  <si>
    <t>40 + 4.2</t>
  </si>
  <si>
    <t>Winter-Spring</t>
  </si>
  <si>
    <t>92000 + 22400</t>
  </si>
  <si>
    <t>1.37+0.98</t>
  </si>
  <si>
    <t>20+4.1</t>
  </si>
  <si>
    <t>Summer</t>
  </si>
  <si>
    <t>30000+9200</t>
  </si>
  <si>
    <t>2.45+1.04</t>
  </si>
  <si>
    <t>Autumn</t>
  </si>
  <si>
    <t>68000+21700</t>
  </si>
  <si>
    <t>Invertebrate</t>
  </si>
  <si>
    <t>Slope to reach 40,000 inds/m2 in biomass (g/m2)</t>
  </si>
  <si>
    <t>Max Biomass (g/m2)</t>
  </si>
  <si>
    <t>0.057 + 0.003</t>
  </si>
  <si>
    <t>4.24+0.55</t>
  </si>
  <si>
    <t>0.069+0.03</t>
  </si>
  <si>
    <t>1.71+0.38</t>
  </si>
  <si>
    <t>1.65+0.49</t>
  </si>
  <si>
    <t>Grimm and Fisher, 1989</t>
  </si>
  <si>
    <t>Gastropoda</t>
  </si>
  <si>
    <t>12?</t>
  </si>
  <si>
    <t>Tricoptera</t>
  </si>
  <si>
    <t>Williams and Hynes, 1976</t>
  </si>
  <si>
    <t>Baetis</t>
  </si>
  <si>
    <t>Non-insect Inverts</t>
  </si>
  <si>
    <t>Lytle, 2000</t>
  </si>
  <si>
    <t>Abundance (thousands/m2)</t>
  </si>
  <si>
    <t>Days Post Flood</t>
  </si>
  <si>
    <t>Fisher et al., 1982</t>
  </si>
  <si>
    <t>Chironomidae (Corynoneura sp)</t>
  </si>
  <si>
    <t>Chironomidae (Dicrotendipes sp)</t>
  </si>
  <si>
    <t>Chironomidae (Cricotopus sp)</t>
  </si>
  <si>
    <t>Chironomidae (Microspectra sp)</t>
  </si>
  <si>
    <t>Chironomidae (Pentaneurini sp)</t>
  </si>
  <si>
    <t>Biomass (g/m2)</t>
  </si>
  <si>
    <t>Baetidae (Fallceon quilleri)</t>
  </si>
  <si>
    <t>P value</t>
  </si>
  <si>
    <t>Boulton et al., 1992</t>
  </si>
  <si>
    <t>Bethedging strategies that don’t makes sense</t>
  </si>
  <si>
    <t>Plant growth</t>
  </si>
  <si>
    <t>Honestly not sure</t>
  </si>
  <si>
    <t>Palmer 1981</t>
  </si>
  <si>
    <t>Sweeney and Van- note 1978, Vannote and Sweeney 1980</t>
  </si>
  <si>
    <t>Peters and Barbosa 1977</t>
  </si>
  <si>
    <t>e.g., Ide 1940, Swee- ney and Vannote 1978, Vannote and Sweeney 1980</t>
  </si>
  <si>
    <t>ineresting arbitrary numbers for weight/egg/emerge/grow relationship but… need to have vital rates before incorporation</t>
  </si>
  <si>
    <t>Info about hormones and causing critical weight/mass required to move from one larval stage to the next (hemiptera and lepidoptera)</t>
  </si>
  <si>
    <t>Revisit Benke 1999</t>
  </si>
  <si>
    <t>headwidth/legth relationship but for cold (4C) water lakes</t>
  </si>
  <si>
    <t>Forrest 198</t>
  </si>
  <si>
    <t xml:space="preserve">Vannote and Sweeney 1980 </t>
  </si>
  <si>
    <t>Thermal Equilibirum Hypothesis</t>
  </si>
  <si>
    <t>Thornhill and Alcock 1983).</t>
  </si>
  <si>
    <t>Hinton 1981 Egg Rates</t>
  </si>
  <si>
    <t>Pages 13-27</t>
  </si>
  <si>
    <t>Reference</t>
  </si>
  <si>
    <t>Baetidae</t>
  </si>
  <si>
    <t>Baetis pumilus</t>
  </si>
  <si>
    <t>Degrange 1960</t>
  </si>
  <si>
    <t xml:space="preserve">Chironmidae </t>
  </si>
  <si>
    <t>Chironomus plumosus</t>
  </si>
  <si>
    <t>Thienemann 1954</t>
  </si>
  <si>
    <t>Chirnomus tentans</t>
  </si>
  <si>
    <t>Chironomus tepperi</t>
  </si>
  <si>
    <t>Jones 1968</t>
  </si>
  <si>
    <t>Corynoneura scutellata</t>
  </si>
  <si>
    <t>Cricotopus trifasciatus</t>
  </si>
  <si>
    <t>Risbec 1951</t>
  </si>
  <si>
    <t>Smittia gracilis</t>
  </si>
  <si>
    <t>Simulidae</t>
  </si>
  <si>
    <t>Simulium spp</t>
  </si>
  <si>
    <t>Badcock 1953</t>
  </si>
  <si>
    <t>Mueller 1888</t>
  </si>
  <si>
    <t>Theinemann 1954</t>
  </si>
  <si>
    <t>Number of Eggs (min)</t>
  </si>
  <si>
    <t>Number of Eggs (max)</t>
  </si>
  <si>
    <t>Chiro Min</t>
  </si>
  <si>
    <t>Chiro Max</t>
  </si>
  <si>
    <t>SIMU mean = 350</t>
  </si>
  <si>
    <t>McMullen - metaanalysis in eco app</t>
  </si>
  <si>
    <t xml:space="preserve">Growth eq for H. slossonae </t>
  </si>
  <si>
    <t>Willis Jr &amp; Hendricks</t>
  </si>
  <si>
    <t>Mean density of eggs per egg mass was 235.6 + 21.66 (95% CI, n = 25).</t>
  </si>
  <si>
    <t>Eggs - Instar V</t>
  </si>
  <si>
    <t>Adults</t>
  </si>
  <si>
    <t>3.9 of all eggs survive to pupae</t>
  </si>
  <si>
    <t>100% all die</t>
  </si>
  <si>
    <t>44.5% mortality in pupal stage</t>
  </si>
  <si>
    <t>0-343</t>
  </si>
  <si>
    <t>343-361</t>
  </si>
  <si>
    <t>361-368</t>
  </si>
  <si>
    <t>Linear I-IV</t>
  </si>
  <si>
    <t>Linear V</t>
  </si>
  <si>
    <t>m = 0.008 + 0.007t</t>
  </si>
  <si>
    <t>m = -47.530 + 0.148t</t>
  </si>
  <si>
    <t xml:space="preserve">0.039 = x^24 </t>
  </si>
  <si>
    <t>suvival in each timestep is 0.873</t>
  </si>
  <si>
    <t xml:space="preserve">Hauer </t>
  </si>
  <si>
    <t>DDs are 1620, 1650, 1680</t>
  </si>
  <si>
    <t xml:space="preserve"> </t>
  </si>
  <si>
    <t>0.873 is total survival probability</t>
  </si>
  <si>
    <t>Parameter</t>
  </si>
  <si>
    <t>Description</t>
  </si>
  <si>
    <t>Values</t>
  </si>
  <si>
    <t>BAET</t>
  </si>
  <si>
    <t>HYOS</t>
  </si>
  <si>
    <t>NZMS</t>
  </si>
  <si>
    <t>MYCA</t>
  </si>
  <si>
    <t>t</t>
  </si>
  <si>
    <t>Timestep</t>
  </si>
  <si>
    <t>2 weeks</t>
  </si>
  <si>
    <t>Nt</t>
  </si>
  <si>
    <t>Population abundance at timestep t</t>
  </si>
  <si>
    <t>K</t>
  </si>
  <si>
    <t>Carrying capacity</t>
  </si>
  <si>
    <t>Kd</t>
  </si>
  <si>
    <t>Disturbance K</t>
  </si>
  <si>
    <t>Kb</t>
  </si>
  <si>
    <t>Baseline K (in the absence of disturbance)</t>
  </si>
  <si>
    <t>Q</t>
  </si>
  <si>
    <t>Disturbance magnitude</t>
  </si>
  <si>
    <t>Qf</t>
  </si>
  <si>
    <t>Disturbance magnitude carrying capacity relationship</t>
  </si>
  <si>
    <t>Qmin</t>
  </si>
  <si>
    <t xml:space="preserve">Minimum Disturbance magnitude </t>
  </si>
  <si>
    <t>a</t>
  </si>
  <si>
    <t>Half-saturation constant</t>
  </si>
  <si>
    <t>h</t>
  </si>
  <si>
    <t>Modifier for disturbance-mortality relationship</t>
  </si>
  <si>
    <t>g</t>
  </si>
  <si>
    <t>Rate that K returns to baseline K post-disturbance</t>
  </si>
  <si>
    <t>tau</t>
  </si>
  <si>
    <t xml:space="preserve">Timesteps post minimum disturbance </t>
  </si>
  <si>
    <t>P1</t>
  </si>
  <si>
    <t>Probability of remaining in Stage 1</t>
  </si>
  <si>
    <t>P1 = 0.55 if temps &gt;= 10; -0.183 *temps + 2.38 if 13 &gt;= temps &gt; 10; 0.001 if temp &gt; 13 b</t>
  </si>
  <si>
    <t>G1</t>
  </si>
  <si>
    <t>Probability of transitioning to Stage 2</t>
  </si>
  <si>
    <t>G1 = 0.001 if temps &gt; 10; 0.183 *temps - 1.829 if 13 &gt; temps &gt; 10; 0.055 if temp &gt; 13</t>
  </si>
  <si>
    <t>P2</t>
  </si>
  <si>
    <t>Probability of remaining in Stage 2</t>
  </si>
  <si>
    <t>P2 = 0.55 if temps &gt;= 10; -0.183 *temps + 2.38 if 13 &gt;= temps &gt; 10; 0.001 if temp &gt; 13</t>
  </si>
  <si>
    <t>G2</t>
  </si>
  <si>
    <t>Probability of transitioning to Stage 3</t>
  </si>
  <si>
    <t>G2 = 0.001 if temps &gt; 10; 0.183 *temps - 1.829 if 13 &gt; temps &gt; 10; 0.055 if temp &gt; 13</t>
  </si>
  <si>
    <t>P3</t>
  </si>
  <si>
    <t>Probability of remaining in Stage 3</t>
  </si>
  <si>
    <t>F1</t>
  </si>
  <si>
    <t>Stage 1 Fecundity</t>
  </si>
  <si>
    <t>F2</t>
  </si>
  <si>
    <t>Stage 2 Fecundity</t>
  </si>
  <si>
    <t>F3</t>
  </si>
  <si>
    <t>Stage 3 Fecundity</t>
  </si>
  <si>
    <t>F3 = (614 * size) - 300) a</t>
  </si>
  <si>
    <t>b) adapted from rates from Sweeney et al 2017, based on data regarding maximum and minimum temperatures for growth</t>
  </si>
  <si>
    <t>a)  Vanote and Sweeney 1980 (Geographic Analysis of Thermal Equilibria: A Conceptual Model for Evaluating the Effect of Natural and Modified Thermal Regimes on Aquatic Insect Communities)</t>
  </si>
  <si>
    <t>0.7c</t>
  </si>
  <si>
    <t>c) based on Willis Jr and Hendricks</t>
  </si>
  <si>
    <t>F3 = 0 if temp &lt; 10; 27.89665 if temp &gt;= 10</t>
  </si>
  <si>
    <t>0.4 d</t>
  </si>
  <si>
    <t xml:space="preserve">d) estimates calculated from data regarding growth rate and survival rate from Cross et al. 202 </t>
  </si>
  <si>
    <t>e) estimated from McKenzie et al. 2013</t>
  </si>
  <si>
    <t>F2 = 0 if temp &lt; 10; 8.87473 if temp &gt;= 10</t>
  </si>
  <si>
    <t>P1 = 0.0272 if temp &lt; 19; 0.0254 if temp &gt;= 19 f</t>
  </si>
  <si>
    <t>f) from Carson et al. 2011</t>
  </si>
  <si>
    <t>immediate post disturbance mortality</t>
  </si>
  <si>
    <t>g) McPeek and Pekarsky 1998 estimate a 0.0378/day mortlatity rate for larvae (0.5292 per fortnight)</t>
  </si>
  <si>
    <t>h) Degrange, 1960</t>
  </si>
  <si>
    <t>G1= 0.0018 if temp &lt; 19; 0.002 if temp &gt;= 19 f</t>
  </si>
  <si>
    <t>P2 = 0.3022 if temp &lt; 19; 0.2883 if temp &gt;= 19 f</t>
  </si>
  <si>
    <t>G2 = 0.0124 if temp &lt; 19; 0.004 if temp &gt;= 19 f</t>
  </si>
  <si>
    <t>P3 = 0.8698 if temp &lt; 19; 0.8929 if temp &gt;= 19 f</t>
  </si>
  <si>
    <t>F2 = 14.33 if temp &lt; 19; 10.98 if temp &gt;= 19 f</t>
  </si>
  <si>
    <t>F3 = 22.73 if temp &lt; 19; 20.59 if temp &gt;= 19 f</t>
  </si>
  <si>
    <t>Pulled from normal distribution with mean 1104.5 and sd of 42.75 h</t>
  </si>
  <si>
    <t>0.25 g</t>
  </si>
  <si>
    <t>0.23 g</t>
  </si>
  <si>
    <t>Grimm &amp; Fisher (1998) Recreation</t>
  </si>
  <si>
    <t>Vannote&amp;Sweeney</t>
  </si>
  <si>
    <t>ns</t>
  </si>
  <si>
    <t>&lt;0.001</t>
  </si>
  <si>
    <t>&lt;0.05</t>
  </si>
  <si>
    <t>&lt;-0.001</t>
  </si>
  <si>
    <t>Cobb et al, 1992</t>
  </si>
  <si>
    <t>Asmicridea</t>
  </si>
  <si>
    <t xml:space="preserve">Smicrophylax </t>
  </si>
  <si>
    <t>Bond and Downes, 2000</t>
  </si>
  <si>
    <t>Ironoquia punctatissima</t>
  </si>
  <si>
    <t>Neophylax mitchelli</t>
  </si>
  <si>
    <t>Kilbane and Holomuzki, 2004</t>
  </si>
  <si>
    <t>Cross et al 2011</t>
  </si>
  <si>
    <t>Holomuzki and Biggs, 2003</t>
  </si>
  <si>
    <t>Imbert et al., 2005</t>
  </si>
  <si>
    <t xml:space="preserve">Baetis </t>
  </si>
  <si>
    <t>Crosssection Area</t>
  </si>
  <si>
    <t>Max Velocity (m3/s)</t>
  </si>
  <si>
    <t>Bankful Discharge</t>
  </si>
  <si>
    <t>Bankfull Discharge</t>
  </si>
  <si>
    <t>Hydropsyche orientalis</t>
  </si>
  <si>
    <t>Hydropsyche setensis</t>
  </si>
  <si>
    <t>P. antipodarum</t>
  </si>
  <si>
    <t>Bennett et al. 2015</t>
  </si>
  <si>
    <t>Kimura et al. 2011</t>
  </si>
  <si>
    <t>Bond &amp; Downes 2000</t>
  </si>
  <si>
    <t>Consoli et al. 2022</t>
  </si>
  <si>
    <t>Nitsche et al. 2012</t>
  </si>
  <si>
    <t>Robinson et al. 2003</t>
  </si>
  <si>
    <t>Max Event Discharge/Bankfull Discharge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</si>
</sst>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color theme="1"/>
      <name val="Times New Roman"/>
      <family val="1"/>
    </font>
    <font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9" fontId="0" fillId="0" borderId="0" xfId="0" applyNumberFormat="1"/>
    <xf numFmtId="0" fontId="3" fillId="0" borderId="0" xfId="0" applyFont="1"/>
    <xf numFmtId="0" fontId="4" fillId="0" borderId="0" xfId="0" applyFont="1"/>
    <xf numFmtId="3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926AA-9D38-4D93-BFDF-BF59E476DC49}">
  <dimension ref="A1:C35"/>
  <sheetViews>
    <sheetView topLeftCell="A17" workbookViewId="0">
      <selection activeCell="E27" sqref="E27"/>
    </sheetView>
  </sheetViews>
  <sheetFormatPr defaultRowHeight="14.4" x14ac:dyDescent="0.3"/>
  <sheetData>
    <row r="1" spans="1:3" x14ac:dyDescent="0.3">
      <c r="A1" t="s">
        <v>65</v>
      </c>
      <c r="B1" t="s">
        <v>9</v>
      </c>
    </row>
    <row r="2" spans="1:3" x14ac:dyDescent="0.3">
      <c r="A2" t="s">
        <v>66</v>
      </c>
    </row>
    <row r="10" spans="1:3" x14ac:dyDescent="0.3">
      <c r="B10" t="s">
        <v>67</v>
      </c>
      <c r="C10" t="s">
        <v>155</v>
      </c>
    </row>
    <row r="11" spans="1:3" x14ac:dyDescent="0.3">
      <c r="B11" t="s">
        <v>68</v>
      </c>
      <c r="C11" t="s">
        <v>155</v>
      </c>
    </row>
    <row r="12" spans="1:3" x14ac:dyDescent="0.3">
      <c r="B12" t="s">
        <v>69</v>
      </c>
      <c r="C12" t="s">
        <v>155</v>
      </c>
    </row>
    <row r="13" spans="1:3" x14ac:dyDescent="0.3">
      <c r="B13" t="s">
        <v>70</v>
      </c>
      <c r="C13" t="s">
        <v>156</v>
      </c>
    </row>
    <row r="14" spans="1:3" x14ac:dyDescent="0.3">
      <c r="B14" t="s">
        <v>71</v>
      </c>
      <c r="C14" t="s">
        <v>156</v>
      </c>
    </row>
    <row r="15" spans="1:3" x14ac:dyDescent="0.3">
      <c r="B15" t="s">
        <v>72</v>
      </c>
      <c r="C15" t="s">
        <v>156</v>
      </c>
    </row>
    <row r="16" spans="1:3" x14ac:dyDescent="0.3">
      <c r="B16" t="s">
        <v>74</v>
      </c>
      <c r="C16" t="s">
        <v>157</v>
      </c>
    </row>
    <row r="17" spans="1:3" x14ac:dyDescent="0.3">
      <c r="B17" t="s">
        <v>73</v>
      </c>
      <c r="C17" t="s">
        <v>162</v>
      </c>
    </row>
    <row r="18" spans="1:3" x14ac:dyDescent="0.3">
      <c r="B18" t="s">
        <v>75</v>
      </c>
      <c r="C18" t="s">
        <v>163</v>
      </c>
    </row>
    <row r="19" spans="1:3" x14ac:dyDescent="0.3">
      <c r="B19" t="s">
        <v>76</v>
      </c>
    </row>
    <row r="20" spans="1:3" x14ac:dyDescent="0.3">
      <c r="A20" t="s">
        <v>77</v>
      </c>
      <c r="B20" t="s">
        <v>78</v>
      </c>
      <c r="C20" t="s">
        <v>165</v>
      </c>
    </row>
    <row r="21" spans="1:3" x14ac:dyDescent="0.3">
      <c r="A21" t="s">
        <v>73</v>
      </c>
      <c r="B21" t="s">
        <v>169</v>
      </c>
    </row>
    <row r="22" spans="1:3" x14ac:dyDescent="0.3">
      <c r="B22" t="s">
        <v>167</v>
      </c>
      <c r="C22" t="s">
        <v>168</v>
      </c>
    </row>
    <row r="23" spans="1:3" x14ac:dyDescent="0.3">
      <c r="B23" t="s">
        <v>159</v>
      </c>
    </row>
    <row r="24" spans="1:3" x14ac:dyDescent="0.3">
      <c r="B24" t="s">
        <v>158</v>
      </c>
    </row>
    <row r="25" spans="1:3" x14ac:dyDescent="0.3">
      <c r="B25" t="s">
        <v>160</v>
      </c>
    </row>
    <row r="26" spans="1:3" x14ac:dyDescent="0.3">
      <c r="B26" t="s">
        <v>161</v>
      </c>
    </row>
    <row r="27" spans="1:3" x14ac:dyDescent="0.3">
      <c r="B27" t="s">
        <v>164</v>
      </c>
    </row>
    <row r="28" spans="1:3" x14ac:dyDescent="0.3">
      <c r="B28" t="s">
        <v>166</v>
      </c>
    </row>
    <row r="29" spans="1:3" x14ac:dyDescent="0.3">
      <c r="B29" t="s">
        <v>188</v>
      </c>
    </row>
    <row r="30" spans="1:3" x14ac:dyDescent="0.3">
      <c r="B30" t="s">
        <v>189</v>
      </c>
    </row>
    <row r="31" spans="1:3" x14ac:dyDescent="0.3">
      <c r="B31" t="s">
        <v>175</v>
      </c>
    </row>
    <row r="32" spans="1:3" x14ac:dyDescent="0.3">
      <c r="B32" t="s">
        <v>190</v>
      </c>
    </row>
    <row r="33" spans="2:2" x14ac:dyDescent="0.3">
      <c r="B33" t="s">
        <v>181</v>
      </c>
    </row>
    <row r="34" spans="2:2" x14ac:dyDescent="0.3">
      <c r="B34" t="s">
        <v>184</v>
      </c>
    </row>
    <row r="35" spans="2:2" x14ac:dyDescent="0.3">
      <c r="B35" t="s">
        <v>196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7F1D1-AF13-44F8-9E56-B9FD16EB0387}">
  <dimension ref="A1:F7"/>
  <sheetViews>
    <sheetView workbookViewId="0">
      <selection activeCell="F7" sqref="F7"/>
    </sheetView>
  </sheetViews>
  <sheetFormatPr defaultRowHeight="14.4" x14ac:dyDescent="0.3"/>
  <sheetData>
    <row r="1" spans="1:6" x14ac:dyDescent="0.3">
      <c r="A1" t="s">
        <v>79</v>
      </c>
      <c r="B1" t="s">
        <v>111</v>
      </c>
      <c r="C1" t="s">
        <v>108</v>
      </c>
      <c r="D1" t="s">
        <v>9</v>
      </c>
      <c r="E1" t="s">
        <v>314</v>
      </c>
      <c r="F1" t="s">
        <v>324</v>
      </c>
    </row>
    <row r="2" spans="1:6" x14ac:dyDescent="0.3">
      <c r="A2" t="s">
        <v>317</v>
      </c>
      <c r="B2">
        <v>42.6</v>
      </c>
      <c r="C2">
        <f>1-(950/1290)</f>
        <v>0.26356589147286824</v>
      </c>
      <c r="D2" t="s">
        <v>318</v>
      </c>
      <c r="E2">
        <v>60.6</v>
      </c>
      <c r="F2">
        <f t="shared" ref="F2:F7" si="0">B2/E2</f>
        <v>0.70297029702970293</v>
      </c>
    </row>
    <row r="3" spans="1:6" x14ac:dyDescent="0.3">
      <c r="A3" t="s">
        <v>317</v>
      </c>
      <c r="B3">
        <v>42.6</v>
      </c>
      <c r="C3">
        <f>1-(929/971)</f>
        <v>4.3254376930998983E-2</v>
      </c>
      <c r="D3" t="s">
        <v>318</v>
      </c>
      <c r="E3">
        <v>60.6</v>
      </c>
      <c r="F3">
        <f t="shared" si="0"/>
        <v>0.70297029702970293</v>
      </c>
    </row>
    <row r="4" spans="1:6" x14ac:dyDescent="0.3">
      <c r="A4" t="s">
        <v>317</v>
      </c>
      <c r="B4">
        <v>47.7</v>
      </c>
      <c r="C4">
        <f>1-(781/887)</f>
        <v>0.11950394588500568</v>
      </c>
      <c r="D4" t="s">
        <v>318</v>
      </c>
      <c r="E4">
        <v>60.6</v>
      </c>
      <c r="F4">
        <f t="shared" si="0"/>
        <v>0.78712871287128716</v>
      </c>
    </row>
    <row r="5" spans="1:6" x14ac:dyDescent="0.3">
      <c r="A5" t="s">
        <v>317</v>
      </c>
      <c r="B5">
        <v>61.6</v>
      </c>
      <c r="C5">
        <f xml:space="preserve"> 1 - (3100/3550)</f>
        <v>0.12676056338028174</v>
      </c>
      <c r="D5" t="s">
        <v>318</v>
      </c>
      <c r="E5">
        <v>60.6</v>
      </c>
      <c r="F5">
        <f t="shared" si="0"/>
        <v>1.0165016501650166</v>
      </c>
    </row>
    <row r="6" spans="1:6" x14ac:dyDescent="0.3">
      <c r="A6" t="s">
        <v>317</v>
      </c>
      <c r="B6">
        <v>61.6</v>
      </c>
      <c r="C6">
        <f>1-(6160/6880)</f>
        <v>0.10465116279069764</v>
      </c>
      <c r="D6" t="s">
        <v>318</v>
      </c>
      <c r="E6">
        <v>60.6</v>
      </c>
      <c r="F6">
        <f t="shared" si="0"/>
        <v>1.0165016501650166</v>
      </c>
    </row>
    <row r="7" spans="1:6" x14ac:dyDescent="0.3">
      <c r="A7" t="s">
        <v>223</v>
      </c>
      <c r="B7">
        <v>1200</v>
      </c>
      <c r="C7">
        <v>0.6855</v>
      </c>
      <c r="D7" t="s">
        <v>307</v>
      </c>
      <c r="E7">
        <v>2406.9299999999998</v>
      </c>
      <c r="F7">
        <f t="shared" si="0"/>
        <v>0.49856040682529201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52ABF-0DF7-4B9A-84AF-ADD0D07630EA}">
  <dimension ref="A1:H18"/>
  <sheetViews>
    <sheetView workbookViewId="0">
      <selection activeCell="A2" sqref="A2"/>
    </sheetView>
  </sheetViews>
  <sheetFormatPr defaultRowHeight="14.4" x14ac:dyDescent="0.3"/>
  <sheetData>
    <row r="1" spans="1:8" x14ac:dyDescent="0.3">
      <c r="A1" t="s">
        <v>79</v>
      </c>
      <c r="B1" t="s">
        <v>111</v>
      </c>
      <c r="C1" t="s">
        <v>108</v>
      </c>
      <c r="D1" t="s">
        <v>9</v>
      </c>
      <c r="E1" t="s">
        <v>314</v>
      </c>
      <c r="F1" t="s">
        <v>324</v>
      </c>
    </row>
    <row r="2" spans="1:8" x14ac:dyDescent="0.3">
      <c r="A2" t="s">
        <v>302</v>
      </c>
      <c r="B2">
        <v>4.1100000000000003</v>
      </c>
      <c r="C2">
        <v>1</v>
      </c>
      <c r="D2" t="s">
        <v>320</v>
      </c>
      <c r="E2">
        <v>2.3148148148000001</v>
      </c>
      <c r="F2">
        <f>B2/E2</f>
        <v>1.7755200000113633</v>
      </c>
    </row>
    <row r="3" spans="1:8" x14ac:dyDescent="0.3">
      <c r="A3" t="s">
        <v>302</v>
      </c>
      <c r="B3">
        <v>4.1100000000000003</v>
      </c>
      <c r="C3">
        <v>1</v>
      </c>
      <c r="D3" t="s">
        <v>320</v>
      </c>
      <c r="E3">
        <v>2.3148148148000001</v>
      </c>
      <c r="F3">
        <f>B3/E3</f>
        <v>1.7755200000113633</v>
      </c>
    </row>
    <row r="4" spans="1:8" x14ac:dyDescent="0.3">
      <c r="A4" t="s">
        <v>302</v>
      </c>
      <c r="B4">
        <v>4.1100000000000003</v>
      </c>
      <c r="C4">
        <v>1</v>
      </c>
      <c r="D4" t="s">
        <v>320</v>
      </c>
      <c r="E4">
        <v>2.3148148148000001</v>
      </c>
      <c r="F4">
        <f>B4/E4</f>
        <v>1.7755200000113633</v>
      </c>
    </row>
    <row r="5" spans="1:8" ht="15.6" x14ac:dyDescent="0.3">
      <c r="A5" t="s">
        <v>315</v>
      </c>
      <c r="B5" s="4">
        <v>2897.99</v>
      </c>
      <c r="C5">
        <f>1- (4/1586)</f>
        <v>0.99747793190416145</v>
      </c>
      <c r="D5" t="s">
        <v>319</v>
      </c>
      <c r="E5" s="5">
        <v>3776</v>
      </c>
      <c r="F5">
        <f>B5/E5</f>
        <v>0.76747616525423723</v>
      </c>
    </row>
    <row r="6" spans="1:8" ht="15.6" x14ac:dyDescent="0.3">
      <c r="A6" t="s">
        <v>316</v>
      </c>
      <c r="B6" s="4">
        <v>2897.99</v>
      </c>
      <c r="C6">
        <f>1-(1/54)</f>
        <v>0.98148148148148151</v>
      </c>
      <c r="D6" t="s">
        <v>319</v>
      </c>
      <c r="E6" s="5">
        <v>3776</v>
      </c>
      <c r="F6">
        <f>B6/E6</f>
        <v>0.76747616525423723</v>
      </c>
    </row>
    <row r="10" spans="1:8" x14ac:dyDescent="0.3">
      <c r="H10" s="2"/>
    </row>
    <row r="11" spans="1:8" x14ac:dyDescent="0.3">
      <c r="H11" s="2"/>
    </row>
    <row r="12" spans="1:8" x14ac:dyDescent="0.3">
      <c r="H12" s="2"/>
    </row>
    <row r="13" spans="1:8" x14ac:dyDescent="0.3">
      <c r="H13" s="2"/>
    </row>
    <row r="14" spans="1:8" x14ac:dyDescent="0.3">
      <c r="H14" s="2"/>
    </row>
    <row r="15" spans="1:8" x14ac:dyDescent="0.3">
      <c r="H15" s="2"/>
    </row>
    <row r="16" spans="1:8" x14ac:dyDescent="0.3">
      <c r="H16" s="2"/>
    </row>
    <row r="17" spans="8:8" x14ac:dyDescent="0.3">
      <c r="H17" s="2"/>
    </row>
    <row r="18" spans="8:8" x14ac:dyDescent="0.3">
      <c r="H1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C38AF-C57B-434A-A547-824BE01D5EB3}">
  <dimension ref="A1:L12"/>
  <sheetViews>
    <sheetView workbookViewId="0">
      <selection activeCell="E13" sqref="E13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16</v>
      </c>
      <c r="E1" t="s">
        <v>18</v>
      </c>
      <c r="F1" t="s">
        <v>6</v>
      </c>
      <c r="G1" t="s">
        <v>10</v>
      </c>
      <c r="H1" t="s">
        <v>22</v>
      </c>
      <c r="L1" t="s">
        <v>9</v>
      </c>
    </row>
    <row r="2" spans="1:12" x14ac:dyDescent="0.3">
      <c r="A2" t="s">
        <v>8</v>
      </c>
      <c r="B2" t="s">
        <v>5</v>
      </c>
      <c r="C2" t="s">
        <v>4</v>
      </c>
      <c r="E2" t="s">
        <v>3</v>
      </c>
      <c r="F2" t="s">
        <v>7</v>
      </c>
      <c r="G2" t="s">
        <v>11</v>
      </c>
      <c r="H2">
        <v>80</v>
      </c>
      <c r="L2" t="s">
        <v>23</v>
      </c>
    </row>
    <row r="3" spans="1:12" x14ac:dyDescent="0.3">
      <c r="A3" t="s">
        <v>13</v>
      </c>
      <c r="B3" t="s">
        <v>14</v>
      </c>
      <c r="C3" s="1" t="s">
        <v>15</v>
      </c>
      <c r="D3" s="1" t="s">
        <v>17</v>
      </c>
      <c r="E3" t="s">
        <v>19</v>
      </c>
      <c r="F3" t="s">
        <v>7</v>
      </c>
      <c r="G3" t="s">
        <v>20</v>
      </c>
      <c r="H3">
        <v>78</v>
      </c>
      <c r="L3" t="s">
        <v>23</v>
      </c>
    </row>
    <row r="4" spans="1:12" x14ac:dyDescent="0.3">
      <c r="A4" t="s">
        <v>21</v>
      </c>
      <c r="H4">
        <v>68</v>
      </c>
      <c r="L4" t="s">
        <v>23</v>
      </c>
    </row>
    <row r="10" spans="1:12" x14ac:dyDescent="0.3">
      <c r="A10" t="s">
        <v>12</v>
      </c>
    </row>
    <row r="12" spans="1:12" x14ac:dyDescent="0.3">
      <c r="A12" t="s">
        <v>214</v>
      </c>
      <c r="B12" t="s">
        <v>215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DC818-8D3E-47F5-BCDD-83A34CDBCF1D}">
  <dimension ref="A1:E14"/>
  <sheetViews>
    <sheetView topLeftCell="A6" workbookViewId="0">
      <selection activeCell="G15" sqref="G15"/>
    </sheetView>
  </sheetViews>
  <sheetFormatPr defaultRowHeight="14.4" x14ac:dyDescent="0.3"/>
  <sheetData>
    <row r="1" spans="1:5" x14ac:dyDescent="0.3">
      <c r="A1" t="s">
        <v>39</v>
      </c>
      <c r="B1" t="s">
        <v>24</v>
      </c>
      <c r="C1" t="s">
        <v>26</v>
      </c>
      <c r="E1" t="s">
        <v>9</v>
      </c>
    </row>
    <row r="2" spans="1:5" ht="16.2" x14ac:dyDescent="0.3">
      <c r="B2" t="s">
        <v>30</v>
      </c>
      <c r="C2" t="s">
        <v>27</v>
      </c>
      <c r="D2" t="s">
        <v>28</v>
      </c>
      <c r="E2" t="s">
        <v>46</v>
      </c>
    </row>
    <row r="3" spans="1:5" x14ac:dyDescent="0.3">
      <c r="A3" t="s">
        <v>29</v>
      </c>
      <c r="C3" t="s">
        <v>32</v>
      </c>
      <c r="D3" t="s">
        <v>31</v>
      </c>
      <c r="E3" t="s">
        <v>46</v>
      </c>
    </row>
    <row r="4" spans="1:5" x14ac:dyDescent="0.3">
      <c r="A4" t="s">
        <v>33</v>
      </c>
      <c r="C4" t="s">
        <v>35</v>
      </c>
      <c r="D4" t="s">
        <v>34</v>
      </c>
      <c r="E4" t="s">
        <v>46</v>
      </c>
    </row>
    <row r="5" spans="1:5" x14ac:dyDescent="0.3">
      <c r="A5" t="s">
        <v>36</v>
      </c>
      <c r="C5" t="s">
        <v>38</v>
      </c>
      <c r="D5" t="s">
        <v>37</v>
      </c>
      <c r="E5" t="s">
        <v>46</v>
      </c>
    </row>
    <row r="6" spans="1:5" x14ac:dyDescent="0.3">
      <c r="A6" t="s">
        <v>40</v>
      </c>
      <c r="C6" t="s">
        <v>42</v>
      </c>
      <c r="D6" t="s">
        <v>41</v>
      </c>
      <c r="E6" t="s">
        <v>46</v>
      </c>
    </row>
    <row r="7" spans="1:5" x14ac:dyDescent="0.3">
      <c r="A7" t="s">
        <v>43</v>
      </c>
      <c r="C7" t="s">
        <v>45</v>
      </c>
      <c r="D7" t="s">
        <v>44</v>
      </c>
      <c r="E7" t="s">
        <v>46</v>
      </c>
    </row>
    <row r="8" spans="1:5" x14ac:dyDescent="0.3">
      <c r="A8" t="s">
        <v>60</v>
      </c>
      <c r="B8" t="s">
        <v>61</v>
      </c>
      <c r="C8" t="s">
        <v>62</v>
      </c>
      <c r="D8" t="s">
        <v>25</v>
      </c>
    </row>
    <row r="9" spans="1:5" x14ac:dyDescent="0.3">
      <c r="C9">
        <v>5416.55</v>
      </c>
      <c r="D9">
        <v>-2320</v>
      </c>
      <c r="E9" t="s">
        <v>63</v>
      </c>
    </row>
    <row r="12" spans="1:5" x14ac:dyDescent="0.3">
      <c r="A12" t="s">
        <v>197</v>
      </c>
      <c r="B12" t="s">
        <v>198</v>
      </c>
    </row>
    <row r="13" spans="1:5" x14ac:dyDescent="0.3">
      <c r="A13" t="s">
        <v>208</v>
      </c>
      <c r="B13" t="s">
        <v>210</v>
      </c>
    </row>
    <row r="14" spans="1:5" x14ac:dyDescent="0.3">
      <c r="A14" t="s">
        <v>209</v>
      </c>
      <c r="B14" t="s">
        <v>211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C5602-3E54-466A-921D-955EC5338DD4}">
  <dimension ref="A1:L12"/>
  <sheetViews>
    <sheetView workbookViewId="0">
      <selection activeCell="I13" sqref="I13"/>
    </sheetView>
  </sheetViews>
  <sheetFormatPr defaultRowHeight="14.4" x14ac:dyDescent="0.3"/>
  <sheetData>
    <row r="1" spans="1:12" x14ac:dyDescent="0.3">
      <c r="A1" t="s">
        <v>47</v>
      </c>
      <c r="B1">
        <v>12.1</v>
      </c>
      <c r="C1">
        <v>14.3</v>
      </c>
      <c r="D1">
        <v>16.2</v>
      </c>
      <c r="E1">
        <v>20.2</v>
      </c>
      <c r="F1">
        <v>21.2</v>
      </c>
      <c r="G1">
        <v>23.9</v>
      </c>
      <c r="H1">
        <v>27.8</v>
      </c>
      <c r="I1">
        <v>30</v>
      </c>
      <c r="J1">
        <v>31.7</v>
      </c>
      <c r="K1">
        <v>33.5</v>
      </c>
      <c r="L1" t="s">
        <v>9</v>
      </c>
    </row>
    <row r="2" spans="1:12" x14ac:dyDescent="0.3">
      <c r="A2" t="s">
        <v>48</v>
      </c>
      <c r="B2">
        <v>43.1</v>
      </c>
      <c r="C2">
        <v>62.9</v>
      </c>
      <c r="D2">
        <v>85.4</v>
      </c>
      <c r="E2">
        <v>87.1</v>
      </c>
      <c r="F2">
        <v>87</v>
      </c>
      <c r="G2">
        <v>79</v>
      </c>
      <c r="H2">
        <v>70.5</v>
      </c>
      <c r="I2">
        <v>74.3</v>
      </c>
      <c r="J2">
        <v>57.3</v>
      </c>
      <c r="K2">
        <v>0</v>
      </c>
      <c r="L2" t="s">
        <v>64</v>
      </c>
    </row>
    <row r="3" spans="1:12" x14ac:dyDescent="0.3">
      <c r="A3" t="s">
        <v>49</v>
      </c>
      <c r="B3">
        <v>13.7</v>
      </c>
      <c r="C3">
        <v>10.3</v>
      </c>
      <c r="D3">
        <v>4.8</v>
      </c>
      <c r="E3">
        <v>3.3</v>
      </c>
      <c r="F3">
        <v>3</v>
      </c>
      <c r="G3">
        <v>4.4000000000000004</v>
      </c>
      <c r="H3">
        <v>12.8</v>
      </c>
      <c r="I3">
        <v>4.7</v>
      </c>
      <c r="J3">
        <v>13</v>
      </c>
      <c r="K3">
        <v>0</v>
      </c>
      <c r="L3" t="s">
        <v>64</v>
      </c>
    </row>
    <row r="4" spans="1:12" x14ac:dyDescent="0.3">
      <c r="A4" t="s">
        <v>50</v>
      </c>
      <c r="B4">
        <v>110.3</v>
      </c>
      <c r="C4">
        <v>72.599999999999994</v>
      </c>
      <c r="D4">
        <v>46.9</v>
      </c>
      <c r="E4">
        <v>29</v>
      </c>
      <c r="F4">
        <v>25.5</v>
      </c>
      <c r="G4">
        <v>20.6</v>
      </c>
      <c r="H4">
        <v>16</v>
      </c>
      <c r="I4">
        <v>13.5</v>
      </c>
      <c r="J4">
        <v>16.899999999999999</v>
      </c>
      <c r="K4">
        <v>0</v>
      </c>
      <c r="L4" t="s">
        <v>64</v>
      </c>
    </row>
    <row r="5" spans="1:12" x14ac:dyDescent="0.3">
      <c r="A5" t="s">
        <v>51</v>
      </c>
      <c r="B5">
        <v>3.3</v>
      </c>
      <c r="C5">
        <v>2.4</v>
      </c>
      <c r="D5">
        <v>1</v>
      </c>
      <c r="E5">
        <v>0.4</v>
      </c>
      <c r="F5">
        <v>0.8</v>
      </c>
      <c r="G5">
        <v>0.5</v>
      </c>
      <c r="H5">
        <v>0</v>
      </c>
      <c r="I5">
        <v>0.4</v>
      </c>
      <c r="J5">
        <v>0.4</v>
      </c>
      <c r="K5">
        <v>0</v>
      </c>
      <c r="L5" t="s">
        <v>64</v>
      </c>
    </row>
    <row r="6" spans="1:12" x14ac:dyDescent="0.3">
      <c r="A6" t="s">
        <v>52</v>
      </c>
      <c r="B6">
        <v>9.1000000000000004E-3</v>
      </c>
      <c r="C6">
        <v>1.3899999999999999E-2</v>
      </c>
      <c r="D6">
        <v>2.1399999999999999E-2</v>
      </c>
      <c r="E6">
        <v>3.4500000000000003E-2</v>
      </c>
      <c r="F6">
        <v>3.95E-2</v>
      </c>
      <c r="G6">
        <v>4.8800000000000003E-2</v>
      </c>
      <c r="H6">
        <v>6.25E-2</v>
      </c>
      <c r="I6">
        <v>7.46E-2</v>
      </c>
      <c r="J6">
        <v>5.9299999999999999E-2</v>
      </c>
      <c r="K6">
        <v>0</v>
      </c>
      <c r="L6" t="s">
        <v>64</v>
      </c>
    </row>
    <row r="7" spans="1:12" x14ac:dyDescent="0.3">
      <c r="A7" t="s">
        <v>53</v>
      </c>
      <c r="B7">
        <v>2.9999999999999997E-4</v>
      </c>
      <c r="C7">
        <v>5.0000000000000001E-4</v>
      </c>
      <c r="D7">
        <v>5.0000000000000001E-4</v>
      </c>
      <c r="E7">
        <v>4.0000000000000002E-4</v>
      </c>
      <c r="F7">
        <v>1.1000000000000001E-3</v>
      </c>
      <c r="G7">
        <v>1.1999999999999999E-3</v>
      </c>
      <c r="H7">
        <v>0</v>
      </c>
      <c r="I7">
        <v>2.3999999999999998E-3</v>
      </c>
      <c r="J7">
        <v>1.6000000000000001E-3</v>
      </c>
      <c r="K7">
        <v>0</v>
      </c>
      <c r="L7" t="s">
        <v>64</v>
      </c>
    </row>
    <row r="10" spans="1:12" x14ac:dyDescent="0.3">
      <c r="A10" t="s">
        <v>54</v>
      </c>
      <c r="B10" t="s">
        <v>55</v>
      </c>
      <c r="C10" t="s">
        <v>56</v>
      </c>
      <c r="D10" t="s">
        <v>57</v>
      </c>
      <c r="E10" t="s">
        <v>9</v>
      </c>
    </row>
    <row r="11" spans="1:12" x14ac:dyDescent="0.3">
      <c r="A11" t="s">
        <v>59</v>
      </c>
      <c r="C11">
        <v>-4.4999999999999998E-2</v>
      </c>
      <c r="D11">
        <v>1.83</v>
      </c>
      <c r="E11" t="s">
        <v>64</v>
      </c>
    </row>
    <row r="12" spans="1:12" x14ac:dyDescent="0.3">
      <c r="A12" t="s">
        <v>58</v>
      </c>
      <c r="C12">
        <v>-3.6999999999999998E-2</v>
      </c>
      <c r="D12">
        <v>1.1599999999999999</v>
      </c>
      <c r="E12" t="s">
        <v>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CE3E2-B118-495B-9371-003A6BFBB1F7}">
  <dimension ref="A1:G100"/>
  <sheetViews>
    <sheetView topLeftCell="A78" workbookViewId="0">
      <selection activeCell="O213" sqref="O213"/>
    </sheetView>
  </sheetViews>
  <sheetFormatPr defaultRowHeight="14.4" x14ac:dyDescent="0.3"/>
  <sheetData>
    <row r="1" spans="1:7" x14ac:dyDescent="0.3">
      <c r="A1" t="s">
        <v>79</v>
      </c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9</v>
      </c>
    </row>
    <row r="2" spans="1:7" x14ac:dyDescent="0.3">
      <c r="A2" t="s">
        <v>8</v>
      </c>
      <c r="B2">
        <v>2581</v>
      </c>
      <c r="C2">
        <v>469</v>
      </c>
      <c r="D2">
        <v>197</v>
      </c>
      <c r="E2">
        <v>15</v>
      </c>
      <c r="F2" t="s">
        <v>85</v>
      </c>
      <c r="G2" t="s">
        <v>96</v>
      </c>
    </row>
    <row r="3" spans="1:7" x14ac:dyDescent="0.3">
      <c r="A3" t="s">
        <v>86</v>
      </c>
      <c r="B3">
        <v>0</v>
      </c>
      <c r="C3">
        <v>0</v>
      </c>
      <c r="D3">
        <v>5</v>
      </c>
      <c r="E3">
        <v>0</v>
      </c>
      <c r="F3" t="s">
        <v>85</v>
      </c>
      <c r="G3" t="s">
        <v>96</v>
      </c>
    </row>
    <row r="4" spans="1:7" x14ac:dyDescent="0.3">
      <c r="A4" t="s">
        <v>87</v>
      </c>
      <c r="B4">
        <v>0</v>
      </c>
      <c r="C4">
        <v>0</v>
      </c>
      <c r="D4">
        <v>1</v>
      </c>
      <c r="E4" t="s">
        <v>90</v>
      </c>
      <c r="F4" t="s">
        <v>85</v>
      </c>
      <c r="G4" t="s">
        <v>96</v>
      </c>
    </row>
    <row r="5" spans="1:7" x14ac:dyDescent="0.3">
      <c r="A5" t="s">
        <v>88</v>
      </c>
      <c r="B5">
        <v>0</v>
      </c>
      <c r="C5">
        <v>0</v>
      </c>
      <c r="D5" t="s">
        <v>91</v>
      </c>
      <c r="E5">
        <v>0</v>
      </c>
      <c r="F5" t="s">
        <v>85</v>
      </c>
      <c r="G5" t="s">
        <v>96</v>
      </c>
    </row>
    <row r="6" spans="1:7" x14ac:dyDescent="0.3">
      <c r="A6" t="s">
        <v>89</v>
      </c>
      <c r="B6">
        <v>0</v>
      </c>
      <c r="C6">
        <v>1</v>
      </c>
      <c r="D6">
        <v>6</v>
      </c>
      <c r="E6">
        <v>1</v>
      </c>
      <c r="F6" t="s">
        <v>85</v>
      </c>
      <c r="G6" t="s">
        <v>96</v>
      </c>
    </row>
    <row r="7" spans="1:7" x14ac:dyDescent="0.3">
      <c r="A7" t="s">
        <v>92</v>
      </c>
      <c r="B7">
        <v>0</v>
      </c>
      <c r="C7">
        <v>0</v>
      </c>
      <c r="D7">
        <v>0</v>
      </c>
      <c r="E7">
        <v>32</v>
      </c>
      <c r="F7" t="s">
        <v>85</v>
      </c>
      <c r="G7" t="s">
        <v>96</v>
      </c>
    </row>
    <row r="8" spans="1:7" x14ac:dyDescent="0.3">
      <c r="A8" t="s">
        <v>93</v>
      </c>
      <c r="B8">
        <v>2</v>
      </c>
      <c r="C8">
        <v>0</v>
      </c>
      <c r="D8">
        <v>0</v>
      </c>
      <c r="E8">
        <v>0</v>
      </c>
      <c r="F8" t="s">
        <v>94</v>
      </c>
      <c r="G8" t="s">
        <v>96</v>
      </c>
    </row>
    <row r="9" spans="1:7" x14ac:dyDescent="0.3">
      <c r="A9" t="s">
        <v>95</v>
      </c>
      <c r="B9">
        <v>0</v>
      </c>
      <c r="C9">
        <v>0</v>
      </c>
      <c r="D9">
        <v>1</v>
      </c>
      <c r="E9">
        <v>0</v>
      </c>
      <c r="F9" t="s">
        <v>94</v>
      </c>
      <c r="G9" t="s">
        <v>96</v>
      </c>
    </row>
    <row r="10" spans="1:7" x14ac:dyDescent="0.3">
      <c r="A10" t="s">
        <v>136</v>
      </c>
      <c r="B10">
        <v>4</v>
      </c>
      <c r="C10">
        <v>0</v>
      </c>
      <c r="D10">
        <v>12</v>
      </c>
      <c r="E10" t="s">
        <v>137</v>
      </c>
      <c r="G10" t="s">
        <v>139</v>
      </c>
    </row>
    <row r="11" spans="1:7" x14ac:dyDescent="0.3">
      <c r="A11" t="s">
        <v>29</v>
      </c>
      <c r="B11">
        <v>0</v>
      </c>
      <c r="C11">
        <v>4</v>
      </c>
      <c r="D11">
        <v>0</v>
      </c>
      <c r="E11">
        <v>0</v>
      </c>
      <c r="G11" t="s">
        <v>139</v>
      </c>
    </row>
    <row r="12" spans="1:7" x14ac:dyDescent="0.3">
      <c r="A12" t="s">
        <v>99</v>
      </c>
      <c r="B12">
        <v>76</v>
      </c>
      <c r="C12">
        <v>24</v>
      </c>
      <c r="D12">
        <v>8</v>
      </c>
      <c r="E12">
        <v>4</v>
      </c>
      <c r="G12" t="s">
        <v>139</v>
      </c>
    </row>
    <row r="13" spans="1:7" x14ac:dyDescent="0.3">
      <c r="A13" t="s">
        <v>138</v>
      </c>
      <c r="B13">
        <v>28</v>
      </c>
      <c r="C13">
        <v>12</v>
      </c>
      <c r="D13">
        <v>0</v>
      </c>
      <c r="E13">
        <v>12</v>
      </c>
      <c r="G13" t="s">
        <v>139</v>
      </c>
    </row>
    <row r="14" spans="1:7" x14ac:dyDescent="0.3">
      <c r="A14" t="s">
        <v>40</v>
      </c>
      <c r="B14">
        <v>11204</v>
      </c>
      <c r="C14">
        <v>2420</v>
      </c>
      <c r="D14">
        <v>4052</v>
      </c>
      <c r="E14">
        <v>9453</v>
      </c>
      <c r="G14" t="s">
        <v>139</v>
      </c>
    </row>
    <row r="15" spans="1:7" ht="13.8" customHeight="1" x14ac:dyDescent="0.3"/>
    <row r="16" spans="1:7" x14ac:dyDescent="0.3">
      <c r="A16" t="s">
        <v>79</v>
      </c>
      <c r="B16" t="s">
        <v>104</v>
      </c>
      <c r="C16" t="s">
        <v>97</v>
      </c>
      <c r="D16" t="s">
        <v>101</v>
      </c>
      <c r="E16" t="s">
        <v>98</v>
      </c>
      <c r="F16" t="s">
        <v>9</v>
      </c>
    </row>
    <row r="17" spans="1:6" x14ac:dyDescent="0.3">
      <c r="A17" t="s">
        <v>99</v>
      </c>
      <c r="B17">
        <v>6.2</v>
      </c>
      <c r="D17" t="s">
        <v>102</v>
      </c>
      <c r="E17">
        <v>0.5</v>
      </c>
      <c r="F17" t="s">
        <v>106</v>
      </c>
    </row>
    <row r="18" spans="1:6" x14ac:dyDescent="0.3">
      <c r="A18" t="s">
        <v>100</v>
      </c>
      <c r="B18">
        <v>15.3</v>
      </c>
      <c r="D18" t="s">
        <v>102</v>
      </c>
      <c r="E18">
        <v>0.5</v>
      </c>
      <c r="F18" t="s">
        <v>106</v>
      </c>
    </row>
    <row r="19" spans="1:6" x14ac:dyDescent="0.3">
      <c r="A19" t="s">
        <v>103</v>
      </c>
      <c r="B19">
        <v>22.4</v>
      </c>
      <c r="D19" t="s">
        <v>102</v>
      </c>
      <c r="E19">
        <v>0.5</v>
      </c>
      <c r="F19" t="s">
        <v>106</v>
      </c>
    </row>
    <row r="20" spans="1:6" x14ac:dyDescent="0.3">
      <c r="A20" t="s">
        <v>99</v>
      </c>
      <c r="B20">
        <v>48.4</v>
      </c>
      <c r="C20">
        <v>6.67</v>
      </c>
      <c r="D20" t="s">
        <v>102</v>
      </c>
      <c r="E20">
        <v>1</v>
      </c>
      <c r="F20" t="s">
        <v>106</v>
      </c>
    </row>
    <row r="21" spans="1:6" x14ac:dyDescent="0.3">
      <c r="A21" t="s">
        <v>100</v>
      </c>
      <c r="B21">
        <v>26.9</v>
      </c>
      <c r="C21">
        <v>41.83</v>
      </c>
      <c r="D21" t="s">
        <v>102</v>
      </c>
      <c r="E21">
        <v>1</v>
      </c>
      <c r="F21" t="s">
        <v>106</v>
      </c>
    </row>
    <row r="22" spans="1:6" x14ac:dyDescent="0.3">
      <c r="A22" t="s">
        <v>103</v>
      </c>
      <c r="B22">
        <v>142.5</v>
      </c>
      <c r="C22">
        <v>2.4700000000000002</v>
      </c>
      <c r="D22" t="s">
        <v>102</v>
      </c>
      <c r="E22">
        <v>1</v>
      </c>
      <c r="F22" t="s">
        <v>106</v>
      </c>
    </row>
    <row r="23" spans="1:6" x14ac:dyDescent="0.3">
      <c r="A23" t="s">
        <v>99</v>
      </c>
      <c r="B23">
        <v>647</v>
      </c>
      <c r="C23">
        <v>26.02</v>
      </c>
      <c r="D23" t="s">
        <v>102</v>
      </c>
      <c r="E23">
        <v>2</v>
      </c>
      <c r="F23" t="s">
        <v>106</v>
      </c>
    </row>
    <row r="24" spans="1:6" x14ac:dyDescent="0.3">
      <c r="A24" t="s">
        <v>100</v>
      </c>
      <c r="B24">
        <v>82.5</v>
      </c>
      <c r="C24">
        <v>73.44</v>
      </c>
      <c r="D24" t="s">
        <v>102</v>
      </c>
      <c r="E24">
        <v>2</v>
      </c>
      <c r="F24" t="s">
        <v>106</v>
      </c>
    </row>
    <row r="25" spans="1:6" x14ac:dyDescent="0.3">
      <c r="A25" t="s">
        <v>103</v>
      </c>
      <c r="B25">
        <v>1292.2</v>
      </c>
      <c r="C25">
        <v>62.15</v>
      </c>
      <c r="D25" t="s">
        <v>102</v>
      </c>
      <c r="E25">
        <v>2</v>
      </c>
      <c r="F25" t="s">
        <v>106</v>
      </c>
    </row>
    <row r="26" spans="1:6" x14ac:dyDescent="0.3">
      <c r="A26" t="s">
        <v>99</v>
      </c>
      <c r="B26">
        <v>41.2</v>
      </c>
      <c r="C26">
        <v>2.4700000000000002</v>
      </c>
      <c r="D26" t="s">
        <v>105</v>
      </c>
      <c r="E26">
        <v>2</v>
      </c>
      <c r="F26" t="s">
        <v>106</v>
      </c>
    </row>
    <row r="27" spans="1:6" x14ac:dyDescent="0.3">
      <c r="A27" t="s">
        <v>100</v>
      </c>
      <c r="B27">
        <v>122.8</v>
      </c>
      <c r="C27">
        <v>33.979999999999997</v>
      </c>
      <c r="D27" t="s">
        <v>105</v>
      </c>
      <c r="E27">
        <v>2</v>
      </c>
      <c r="F27" t="s">
        <v>106</v>
      </c>
    </row>
    <row r="28" spans="1:6" x14ac:dyDescent="0.3">
      <c r="A28" t="s">
        <v>103</v>
      </c>
      <c r="B28">
        <v>2561</v>
      </c>
      <c r="C28">
        <v>313.12</v>
      </c>
      <c r="D28" t="s">
        <v>105</v>
      </c>
      <c r="E28">
        <v>2</v>
      </c>
      <c r="F28" t="s">
        <v>106</v>
      </c>
    </row>
    <row r="29" spans="1:6" x14ac:dyDescent="0.3">
      <c r="A29" t="s">
        <v>99</v>
      </c>
      <c r="B29">
        <v>129.9</v>
      </c>
      <c r="C29">
        <v>27.96</v>
      </c>
      <c r="D29" t="s">
        <v>102</v>
      </c>
      <c r="E29">
        <v>9</v>
      </c>
      <c r="F29" t="s">
        <v>106</v>
      </c>
    </row>
    <row r="30" spans="1:6" x14ac:dyDescent="0.3">
      <c r="A30" t="s">
        <v>100</v>
      </c>
      <c r="B30">
        <v>8.1</v>
      </c>
      <c r="C30">
        <v>1.61</v>
      </c>
      <c r="D30" t="s">
        <v>102</v>
      </c>
      <c r="E30">
        <v>9</v>
      </c>
      <c r="F30" t="s">
        <v>106</v>
      </c>
    </row>
    <row r="31" spans="1:6" x14ac:dyDescent="0.3">
      <c r="A31" t="s">
        <v>103</v>
      </c>
      <c r="B31">
        <v>339.6</v>
      </c>
      <c r="C31">
        <v>31.72</v>
      </c>
      <c r="D31" t="s">
        <v>102</v>
      </c>
      <c r="E31">
        <v>9</v>
      </c>
      <c r="F31" t="s">
        <v>106</v>
      </c>
    </row>
    <row r="32" spans="1:6" x14ac:dyDescent="0.3">
      <c r="A32" t="s">
        <v>99</v>
      </c>
      <c r="B32">
        <v>73.400000000000006</v>
      </c>
      <c r="C32">
        <v>24.19</v>
      </c>
      <c r="D32" t="s">
        <v>105</v>
      </c>
      <c r="E32">
        <v>9</v>
      </c>
      <c r="F32" t="s">
        <v>106</v>
      </c>
    </row>
    <row r="33" spans="1:6" x14ac:dyDescent="0.3">
      <c r="A33" t="s">
        <v>100</v>
      </c>
      <c r="B33">
        <v>11.6</v>
      </c>
      <c r="C33">
        <v>2.8</v>
      </c>
      <c r="D33" t="s">
        <v>105</v>
      </c>
      <c r="E33">
        <v>9</v>
      </c>
      <c r="F33" t="s">
        <v>106</v>
      </c>
    </row>
    <row r="34" spans="1:6" x14ac:dyDescent="0.3">
      <c r="A34" t="s">
        <v>103</v>
      </c>
      <c r="B34">
        <v>1036.8</v>
      </c>
      <c r="C34">
        <v>55.81</v>
      </c>
      <c r="D34" t="s">
        <v>105</v>
      </c>
      <c r="E34">
        <v>9</v>
      </c>
      <c r="F34" t="s">
        <v>106</v>
      </c>
    </row>
    <row r="35" spans="1:6" x14ac:dyDescent="0.3">
      <c r="A35" t="s">
        <v>99</v>
      </c>
      <c r="B35">
        <v>2465.1</v>
      </c>
      <c r="C35">
        <v>262.37</v>
      </c>
      <c r="D35" t="s">
        <v>102</v>
      </c>
      <c r="E35">
        <v>12</v>
      </c>
      <c r="F35" t="s">
        <v>106</v>
      </c>
    </row>
    <row r="36" spans="1:6" x14ac:dyDescent="0.3">
      <c r="A36" t="s">
        <v>100</v>
      </c>
      <c r="B36">
        <v>75.3</v>
      </c>
      <c r="C36">
        <v>46.56</v>
      </c>
      <c r="D36" t="s">
        <v>102</v>
      </c>
      <c r="E36">
        <v>12</v>
      </c>
      <c r="F36" t="s">
        <v>106</v>
      </c>
    </row>
    <row r="37" spans="1:6" x14ac:dyDescent="0.3">
      <c r="A37" t="s">
        <v>103</v>
      </c>
      <c r="B37">
        <v>1767</v>
      </c>
      <c r="C37">
        <v>49.57</v>
      </c>
      <c r="D37" t="s">
        <v>102</v>
      </c>
      <c r="E37">
        <v>12</v>
      </c>
      <c r="F37" t="s">
        <v>106</v>
      </c>
    </row>
    <row r="38" spans="1:6" x14ac:dyDescent="0.3">
      <c r="A38" t="s">
        <v>99</v>
      </c>
      <c r="B38">
        <v>1271.0999999999999</v>
      </c>
      <c r="C38">
        <v>226.46</v>
      </c>
      <c r="D38" t="s">
        <v>105</v>
      </c>
      <c r="E38">
        <v>12</v>
      </c>
      <c r="F38" t="s">
        <v>106</v>
      </c>
    </row>
    <row r="39" spans="1:6" x14ac:dyDescent="0.3">
      <c r="A39" t="s">
        <v>100</v>
      </c>
      <c r="B39">
        <v>205.3</v>
      </c>
      <c r="C39">
        <v>148.82</v>
      </c>
      <c r="D39" t="s">
        <v>105</v>
      </c>
      <c r="E39">
        <v>12</v>
      </c>
      <c r="F39" t="s">
        <v>106</v>
      </c>
    </row>
    <row r="40" spans="1:6" x14ac:dyDescent="0.3">
      <c r="A40" t="s">
        <v>103</v>
      </c>
      <c r="B40">
        <v>3616.5</v>
      </c>
      <c r="C40">
        <v>135.38</v>
      </c>
      <c r="D40" t="s">
        <v>105</v>
      </c>
      <c r="E40">
        <v>12</v>
      </c>
      <c r="F40" t="s">
        <v>106</v>
      </c>
    </row>
    <row r="41" spans="1:6" x14ac:dyDescent="0.3">
      <c r="A41" t="s">
        <v>99</v>
      </c>
      <c r="B41">
        <v>2376.3000000000002</v>
      </c>
      <c r="C41">
        <v>483.01</v>
      </c>
      <c r="D41" t="s">
        <v>102</v>
      </c>
      <c r="E41">
        <v>24</v>
      </c>
      <c r="F41" t="s">
        <v>106</v>
      </c>
    </row>
    <row r="42" spans="1:6" x14ac:dyDescent="0.3">
      <c r="A42" t="s">
        <v>100</v>
      </c>
      <c r="B42">
        <v>142.5</v>
      </c>
      <c r="C42">
        <v>155.69999999999999</v>
      </c>
      <c r="D42" t="s">
        <v>102</v>
      </c>
      <c r="E42">
        <v>24</v>
      </c>
      <c r="F42" t="s">
        <v>106</v>
      </c>
    </row>
    <row r="43" spans="1:6" x14ac:dyDescent="0.3">
      <c r="A43" t="s">
        <v>103</v>
      </c>
      <c r="B43">
        <v>412.2</v>
      </c>
      <c r="C43">
        <v>53.33</v>
      </c>
      <c r="D43" t="s">
        <v>102</v>
      </c>
      <c r="E43">
        <v>24</v>
      </c>
      <c r="F43" t="s">
        <v>106</v>
      </c>
    </row>
    <row r="44" spans="1:6" x14ac:dyDescent="0.3">
      <c r="A44" t="s">
        <v>99</v>
      </c>
      <c r="B44">
        <v>2871</v>
      </c>
      <c r="C44">
        <v>410.97</v>
      </c>
      <c r="D44" t="s">
        <v>105</v>
      </c>
      <c r="E44">
        <v>24</v>
      </c>
      <c r="F44" t="s">
        <v>106</v>
      </c>
    </row>
    <row r="45" spans="1:6" x14ac:dyDescent="0.3">
      <c r="A45" t="s">
        <v>100</v>
      </c>
      <c r="B45">
        <v>258.10000000000002</v>
      </c>
      <c r="C45">
        <v>100.43</v>
      </c>
      <c r="D45" t="s">
        <v>105</v>
      </c>
      <c r="E45">
        <v>24</v>
      </c>
      <c r="F45" t="s">
        <v>106</v>
      </c>
    </row>
    <row r="46" spans="1:6" x14ac:dyDescent="0.3">
      <c r="A46" t="s">
        <v>103</v>
      </c>
      <c r="B46">
        <v>905.1</v>
      </c>
      <c r="C46">
        <v>55.38</v>
      </c>
      <c r="D46" t="s">
        <v>105</v>
      </c>
      <c r="E46">
        <v>24</v>
      </c>
      <c r="F46" t="s">
        <v>106</v>
      </c>
    </row>
    <row r="48" spans="1:6" x14ac:dyDescent="0.3">
      <c r="A48" t="s">
        <v>79</v>
      </c>
      <c r="B48" t="s">
        <v>113</v>
      </c>
      <c r="C48" t="s">
        <v>114</v>
      </c>
      <c r="D48" t="s">
        <v>84</v>
      </c>
      <c r="E48" t="s">
        <v>115</v>
      </c>
      <c r="F48" t="s">
        <v>9</v>
      </c>
    </row>
    <row r="49" spans="1:6" x14ac:dyDescent="0.3">
      <c r="A49" t="s">
        <v>107</v>
      </c>
      <c r="B49" t="s">
        <v>116</v>
      </c>
      <c r="C49" t="s">
        <v>117</v>
      </c>
      <c r="D49" t="s">
        <v>118</v>
      </c>
      <c r="E49" t="s">
        <v>119</v>
      </c>
      <c r="F49" t="s">
        <v>135</v>
      </c>
    </row>
    <row r="50" spans="1:6" x14ac:dyDescent="0.3">
      <c r="A50" t="s">
        <v>107</v>
      </c>
      <c r="B50" t="s">
        <v>120</v>
      </c>
      <c r="C50" t="s">
        <v>121</v>
      </c>
      <c r="D50" t="s">
        <v>122</v>
      </c>
      <c r="E50" t="s">
        <v>123</v>
      </c>
      <c r="F50" t="s">
        <v>135</v>
      </c>
    </row>
    <row r="51" spans="1:6" x14ac:dyDescent="0.3">
      <c r="A51" t="s">
        <v>107</v>
      </c>
      <c r="B51" t="s">
        <v>124</v>
      </c>
      <c r="D51" t="s">
        <v>125</v>
      </c>
      <c r="E51" t="s">
        <v>126</v>
      </c>
      <c r="F51" t="s">
        <v>135</v>
      </c>
    </row>
    <row r="53" spans="1:6" x14ac:dyDescent="0.3">
      <c r="A53" t="s">
        <v>79</v>
      </c>
      <c r="B53" t="s">
        <v>128</v>
      </c>
      <c r="C53" t="s">
        <v>84</v>
      </c>
      <c r="D53" t="s">
        <v>129</v>
      </c>
      <c r="E53" t="s">
        <v>9</v>
      </c>
    </row>
    <row r="54" spans="1:6" x14ac:dyDescent="0.3">
      <c r="A54" t="s">
        <v>127</v>
      </c>
      <c r="B54" t="s">
        <v>130</v>
      </c>
      <c r="C54" t="s">
        <v>118</v>
      </c>
      <c r="D54" t="s">
        <v>131</v>
      </c>
      <c r="E54" t="s">
        <v>135</v>
      </c>
    </row>
    <row r="55" spans="1:6" x14ac:dyDescent="0.3">
      <c r="A55" t="s">
        <v>127</v>
      </c>
      <c r="C55" t="s">
        <v>122</v>
      </c>
      <c r="D55" t="s">
        <v>134</v>
      </c>
      <c r="E55" t="s">
        <v>135</v>
      </c>
    </row>
    <row r="56" spans="1:6" x14ac:dyDescent="0.3">
      <c r="A56" t="s">
        <v>127</v>
      </c>
      <c r="B56" t="s">
        <v>132</v>
      </c>
      <c r="C56" t="s">
        <v>125</v>
      </c>
      <c r="D56" t="s">
        <v>133</v>
      </c>
      <c r="E56" t="s">
        <v>135</v>
      </c>
    </row>
    <row r="58" spans="1:6" x14ac:dyDescent="0.3">
      <c r="A58" t="s">
        <v>79</v>
      </c>
      <c r="B58" t="s">
        <v>143</v>
      </c>
      <c r="C58" t="s">
        <v>151</v>
      </c>
      <c r="D58" t="s">
        <v>144</v>
      </c>
      <c r="E58" t="s">
        <v>9</v>
      </c>
    </row>
    <row r="59" spans="1:6" x14ac:dyDescent="0.3">
      <c r="A59" t="s">
        <v>8</v>
      </c>
      <c r="B59">
        <v>0.03</v>
      </c>
      <c r="C59">
        <v>0</v>
      </c>
      <c r="D59">
        <v>1</v>
      </c>
      <c r="E59" t="s">
        <v>145</v>
      </c>
    </row>
    <row r="60" spans="1:6" x14ac:dyDescent="0.3">
      <c r="A60" t="s">
        <v>8</v>
      </c>
      <c r="B60">
        <v>0.85</v>
      </c>
      <c r="C60">
        <v>0.06</v>
      </c>
      <c r="D60">
        <v>5</v>
      </c>
      <c r="E60" t="s">
        <v>145</v>
      </c>
    </row>
    <row r="61" spans="1:6" x14ac:dyDescent="0.3">
      <c r="A61" t="s">
        <v>8</v>
      </c>
      <c r="B61">
        <v>2.6</v>
      </c>
      <c r="C61">
        <v>0.2</v>
      </c>
      <c r="D61">
        <v>13</v>
      </c>
      <c r="E61" t="s">
        <v>145</v>
      </c>
    </row>
    <row r="62" spans="1:6" x14ac:dyDescent="0.3">
      <c r="A62" t="s">
        <v>8</v>
      </c>
      <c r="B62">
        <v>9.3000000000000007</v>
      </c>
      <c r="C62">
        <v>0.67</v>
      </c>
      <c r="D62">
        <v>22</v>
      </c>
      <c r="E62" t="s">
        <v>145</v>
      </c>
    </row>
    <row r="63" spans="1:6" x14ac:dyDescent="0.3">
      <c r="A63" t="s">
        <v>8</v>
      </c>
      <c r="B63">
        <v>6.4</v>
      </c>
      <c r="C63">
        <v>0.18</v>
      </c>
      <c r="D63">
        <v>35</v>
      </c>
      <c r="E63" t="s">
        <v>145</v>
      </c>
    </row>
    <row r="64" spans="1:6" x14ac:dyDescent="0.3">
      <c r="A64" t="s">
        <v>8</v>
      </c>
      <c r="B64">
        <v>0.9</v>
      </c>
      <c r="C64">
        <v>0.03</v>
      </c>
      <c r="D64">
        <v>49</v>
      </c>
      <c r="E64" t="s">
        <v>145</v>
      </c>
    </row>
    <row r="65" spans="1:5" x14ac:dyDescent="0.3">
      <c r="A65" t="s">
        <v>8</v>
      </c>
      <c r="B65">
        <v>1</v>
      </c>
      <c r="C65">
        <v>0</v>
      </c>
      <c r="D65">
        <v>63</v>
      </c>
      <c r="E65" t="s">
        <v>145</v>
      </c>
    </row>
    <row r="66" spans="1:5" x14ac:dyDescent="0.3">
      <c r="A66" t="s">
        <v>146</v>
      </c>
      <c r="B66">
        <v>1.2</v>
      </c>
      <c r="C66">
        <v>0.03</v>
      </c>
      <c r="D66">
        <v>1</v>
      </c>
      <c r="E66" t="s">
        <v>145</v>
      </c>
    </row>
    <row r="67" spans="1:5" x14ac:dyDescent="0.3">
      <c r="A67" t="s">
        <v>146</v>
      </c>
      <c r="B67">
        <v>2.9</v>
      </c>
      <c r="C67">
        <v>0.13</v>
      </c>
      <c r="D67">
        <v>5</v>
      </c>
      <c r="E67" t="s">
        <v>145</v>
      </c>
    </row>
    <row r="68" spans="1:5" x14ac:dyDescent="0.3">
      <c r="A68" t="s">
        <v>146</v>
      </c>
      <c r="B68">
        <v>2.6</v>
      </c>
      <c r="C68">
        <v>0.06</v>
      </c>
      <c r="D68">
        <v>13</v>
      </c>
      <c r="E68" t="s">
        <v>145</v>
      </c>
    </row>
    <row r="69" spans="1:5" x14ac:dyDescent="0.3">
      <c r="A69" t="s">
        <v>146</v>
      </c>
      <c r="B69">
        <v>11.4</v>
      </c>
      <c r="C69">
        <v>0.24</v>
      </c>
      <c r="D69">
        <v>22</v>
      </c>
      <c r="E69" t="s">
        <v>145</v>
      </c>
    </row>
    <row r="70" spans="1:5" x14ac:dyDescent="0.3">
      <c r="A70" t="s">
        <v>146</v>
      </c>
      <c r="B70">
        <v>21.6</v>
      </c>
      <c r="C70">
        <v>0.38</v>
      </c>
      <c r="D70">
        <v>35</v>
      </c>
      <c r="E70" t="s">
        <v>145</v>
      </c>
    </row>
    <row r="71" spans="1:5" x14ac:dyDescent="0.3">
      <c r="A71" t="s">
        <v>146</v>
      </c>
      <c r="B71">
        <v>21.3</v>
      </c>
      <c r="C71">
        <v>0.36</v>
      </c>
      <c r="D71">
        <v>49</v>
      </c>
      <c r="E71" t="s">
        <v>145</v>
      </c>
    </row>
    <row r="72" spans="1:5" x14ac:dyDescent="0.3">
      <c r="A72" t="s">
        <v>146</v>
      </c>
      <c r="B72">
        <v>11.5</v>
      </c>
      <c r="C72">
        <v>0.26</v>
      </c>
      <c r="D72">
        <v>63</v>
      </c>
      <c r="E72" t="s">
        <v>145</v>
      </c>
    </row>
    <row r="73" spans="1:5" x14ac:dyDescent="0.3">
      <c r="A73" t="s">
        <v>148</v>
      </c>
      <c r="B73">
        <v>0</v>
      </c>
      <c r="C73">
        <v>0</v>
      </c>
      <c r="D73">
        <v>1</v>
      </c>
      <c r="E73" t="s">
        <v>145</v>
      </c>
    </row>
    <row r="74" spans="1:5" x14ac:dyDescent="0.3">
      <c r="A74" t="s">
        <v>148</v>
      </c>
      <c r="B74">
        <v>0</v>
      </c>
      <c r="C74">
        <v>0.03</v>
      </c>
      <c r="D74">
        <v>5</v>
      </c>
      <c r="E74" t="s">
        <v>145</v>
      </c>
    </row>
    <row r="75" spans="1:5" x14ac:dyDescent="0.3">
      <c r="A75" t="s">
        <v>148</v>
      </c>
      <c r="B75">
        <v>0.8</v>
      </c>
      <c r="C75">
        <v>0.01</v>
      </c>
      <c r="D75">
        <v>13</v>
      </c>
      <c r="E75" t="s">
        <v>145</v>
      </c>
    </row>
    <row r="76" spans="1:5" x14ac:dyDescent="0.3">
      <c r="A76" t="s">
        <v>148</v>
      </c>
      <c r="B76">
        <v>3.6</v>
      </c>
      <c r="C76">
        <v>0.06</v>
      </c>
      <c r="D76">
        <v>22</v>
      </c>
      <c r="E76" t="s">
        <v>145</v>
      </c>
    </row>
    <row r="77" spans="1:5" x14ac:dyDescent="0.3">
      <c r="A77" t="s">
        <v>148</v>
      </c>
      <c r="B77">
        <v>0.4</v>
      </c>
      <c r="C77">
        <v>0.11</v>
      </c>
      <c r="D77">
        <v>35</v>
      </c>
      <c r="E77" t="s">
        <v>145</v>
      </c>
    </row>
    <row r="78" spans="1:5" x14ac:dyDescent="0.3">
      <c r="A78" t="s">
        <v>148</v>
      </c>
      <c r="B78">
        <v>1.2</v>
      </c>
      <c r="C78">
        <v>7.0000000000000007E-2</v>
      </c>
      <c r="D78">
        <v>49</v>
      </c>
      <c r="E78" t="s">
        <v>145</v>
      </c>
    </row>
    <row r="79" spans="1:5" x14ac:dyDescent="0.3">
      <c r="A79" t="s">
        <v>148</v>
      </c>
      <c r="B79">
        <v>1.6</v>
      </c>
      <c r="C79">
        <v>0.11</v>
      </c>
      <c r="D79">
        <v>63</v>
      </c>
      <c r="E79" t="s">
        <v>145</v>
      </c>
    </row>
    <row r="80" spans="1:5" x14ac:dyDescent="0.3">
      <c r="A80" t="s">
        <v>149</v>
      </c>
      <c r="B80">
        <v>0</v>
      </c>
      <c r="C80">
        <v>0</v>
      </c>
      <c r="D80">
        <v>1</v>
      </c>
      <c r="E80" t="s">
        <v>145</v>
      </c>
    </row>
    <row r="81" spans="1:5" x14ac:dyDescent="0.3">
      <c r="A81" t="s">
        <v>149</v>
      </c>
      <c r="B81">
        <v>0</v>
      </c>
      <c r="C81">
        <v>0</v>
      </c>
      <c r="D81">
        <v>5</v>
      </c>
      <c r="E81" t="s">
        <v>145</v>
      </c>
    </row>
    <row r="82" spans="1:5" x14ac:dyDescent="0.3">
      <c r="A82" t="s">
        <v>149</v>
      </c>
      <c r="B82">
        <v>0</v>
      </c>
      <c r="C82">
        <v>0</v>
      </c>
      <c r="D82">
        <v>13</v>
      </c>
      <c r="E82" t="s">
        <v>145</v>
      </c>
    </row>
    <row r="83" spans="1:5" x14ac:dyDescent="0.3">
      <c r="A83" t="s">
        <v>149</v>
      </c>
      <c r="B83">
        <v>0</v>
      </c>
      <c r="C83">
        <v>0</v>
      </c>
      <c r="D83">
        <v>22</v>
      </c>
      <c r="E83" t="s">
        <v>145</v>
      </c>
    </row>
    <row r="84" spans="1:5" x14ac:dyDescent="0.3">
      <c r="A84" t="s">
        <v>149</v>
      </c>
      <c r="B84">
        <v>0</v>
      </c>
      <c r="C84">
        <v>0</v>
      </c>
      <c r="D84">
        <v>35</v>
      </c>
      <c r="E84" t="s">
        <v>145</v>
      </c>
    </row>
    <row r="85" spans="1:5" x14ac:dyDescent="0.3">
      <c r="A85" t="s">
        <v>149</v>
      </c>
      <c r="B85">
        <v>0.2</v>
      </c>
      <c r="C85">
        <v>0.05</v>
      </c>
      <c r="D85">
        <v>49</v>
      </c>
      <c r="E85" t="s">
        <v>145</v>
      </c>
    </row>
    <row r="86" spans="1:5" x14ac:dyDescent="0.3">
      <c r="A86" t="s">
        <v>149</v>
      </c>
      <c r="B86">
        <v>5.6</v>
      </c>
      <c r="C86">
        <v>0.13</v>
      </c>
      <c r="D86">
        <v>63</v>
      </c>
      <c r="E86" t="s">
        <v>145</v>
      </c>
    </row>
    <row r="87" spans="1:5" x14ac:dyDescent="0.3">
      <c r="A87" t="s">
        <v>150</v>
      </c>
      <c r="B87">
        <v>0.1</v>
      </c>
      <c r="C87">
        <v>0</v>
      </c>
      <c r="D87">
        <v>1</v>
      </c>
      <c r="E87" t="s">
        <v>145</v>
      </c>
    </row>
    <row r="88" spans="1:5" x14ac:dyDescent="0.3">
      <c r="A88" t="s">
        <v>150</v>
      </c>
      <c r="B88">
        <v>0.5</v>
      </c>
      <c r="C88">
        <v>0.01</v>
      </c>
      <c r="D88">
        <v>5</v>
      </c>
      <c r="E88" t="s">
        <v>145</v>
      </c>
    </row>
    <row r="89" spans="1:5" x14ac:dyDescent="0.3">
      <c r="A89" t="s">
        <v>150</v>
      </c>
      <c r="B89">
        <v>0.6</v>
      </c>
      <c r="C89">
        <v>0.05</v>
      </c>
      <c r="D89">
        <v>13</v>
      </c>
      <c r="E89" t="s">
        <v>145</v>
      </c>
    </row>
    <row r="90" spans="1:5" x14ac:dyDescent="0.3">
      <c r="A90" t="s">
        <v>150</v>
      </c>
      <c r="B90">
        <v>1.8</v>
      </c>
      <c r="C90">
        <v>0.14000000000000001</v>
      </c>
      <c r="D90">
        <v>22</v>
      </c>
      <c r="E90" t="s">
        <v>145</v>
      </c>
    </row>
    <row r="91" spans="1:5" x14ac:dyDescent="0.3">
      <c r="A91" t="s">
        <v>150</v>
      </c>
      <c r="B91">
        <v>1</v>
      </c>
      <c r="C91">
        <v>0.11</v>
      </c>
      <c r="D91">
        <v>35</v>
      </c>
      <c r="E91" t="s">
        <v>145</v>
      </c>
    </row>
    <row r="92" spans="1:5" x14ac:dyDescent="0.3">
      <c r="A92" t="s">
        <v>150</v>
      </c>
      <c r="B92">
        <v>0.6</v>
      </c>
      <c r="C92">
        <v>0.01</v>
      </c>
      <c r="D92">
        <v>49</v>
      </c>
      <c r="E92" t="s">
        <v>145</v>
      </c>
    </row>
    <row r="93" spans="1:5" x14ac:dyDescent="0.3">
      <c r="A93" t="s">
        <v>150</v>
      </c>
      <c r="B93">
        <v>0.25</v>
      </c>
      <c r="C93">
        <v>0.02</v>
      </c>
      <c r="D93">
        <v>63</v>
      </c>
      <c r="E93" t="s">
        <v>145</v>
      </c>
    </row>
    <row r="94" spans="1:5" x14ac:dyDescent="0.3">
      <c r="A94" t="s">
        <v>147</v>
      </c>
      <c r="B94">
        <v>0.4</v>
      </c>
      <c r="C94">
        <v>0</v>
      </c>
      <c r="D94">
        <v>1</v>
      </c>
      <c r="E94" t="s">
        <v>145</v>
      </c>
    </row>
    <row r="95" spans="1:5" x14ac:dyDescent="0.3">
      <c r="A95" t="s">
        <v>147</v>
      </c>
      <c r="B95">
        <v>0.5</v>
      </c>
      <c r="C95">
        <v>0</v>
      </c>
      <c r="D95">
        <v>5</v>
      </c>
      <c r="E95" t="s">
        <v>145</v>
      </c>
    </row>
    <row r="96" spans="1:5" x14ac:dyDescent="0.3">
      <c r="A96" t="s">
        <v>147</v>
      </c>
      <c r="B96">
        <v>0.4</v>
      </c>
      <c r="C96">
        <v>0.02</v>
      </c>
      <c r="D96">
        <v>13</v>
      </c>
      <c r="E96" t="s">
        <v>145</v>
      </c>
    </row>
    <row r="97" spans="1:5" x14ac:dyDescent="0.3">
      <c r="A97" t="s">
        <v>147</v>
      </c>
      <c r="B97">
        <v>2.8</v>
      </c>
      <c r="C97">
        <v>0</v>
      </c>
      <c r="D97">
        <v>22</v>
      </c>
      <c r="E97" t="s">
        <v>145</v>
      </c>
    </row>
    <row r="98" spans="1:5" x14ac:dyDescent="0.3">
      <c r="A98" t="s">
        <v>147</v>
      </c>
      <c r="B98">
        <v>6.4</v>
      </c>
      <c r="C98">
        <v>0.01</v>
      </c>
      <c r="D98">
        <v>35</v>
      </c>
      <c r="E98" t="s">
        <v>145</v>
      </c>
    </row>
    <row r="99" spans="1:5" x14ac:dyDescent="0.3">
      <c r="A99" t="s">
        <v>147</v>
      </c>
      <c r="B99">
        <v>3.9</v>
      </c>
      <c r="C99">
        <v>0.02</v>
      </c>
      <c r="D99">
        <v>49</v>
      </c>
      <c r="E99" t="s">
        <v>145</v>
      </c>
    </row>
    <row r="100" spans="1:5" x14ac:dyDescent="0.3">
      <c r="A100" t="s">
        <v>147</v>
      </c>
      <c r="B100">
        <v>4.8</v>
      </c>
      <c r="C100">
        <v>0.04</v>
      </c>
      <c r="D100">
        <v>63</v>
      </c>
      <c r="E100" t="s">
        <v>145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15538-3D4C-42EE-ABFF-D3D33EC7F6D4}">
  <dimension ref="A1:L26"/>
  <sheetViews>
    <sheetView zoomScale="82" zoomScaleNormal="82" workbookViewId="0">
      <selection activeCell="H2" sqref="H2"/>
    </sheetView>
  </sheetViews>
  <sheetFormatPr defaultRowHeight="14.4" x14ac:dyDescent="0.3"/>
  <sheetData>
    <row r="1" spans="1:12" x14ac:dyDescent="0.3">
      <c r="A1" t="s">
        <v>218</v>
      </c>
      <c r="B1" t="s">
        <v>220</v>
      </c>
      <c r="C1" t="s">
        <v>221</v>
      </c>
      <c r="D1" t="s">
        <v>222</v>
      </c>
      <c r="E1" t="s">
        <v>223</v>
      </c>
      <c r="F1" t="s">
        <v>224</v>
      </c>
      <c r="G1" t="s">
        <v>294</v>
      </c>
      <c r="H1" t="s">
        <v>295</v>
      </c>
      <c r="K1" t="s">
        <v>218</v>
      </c>
      <c r="L1" t="s">
        <v>219</v>
      </c>
    </row>
    <row r="2" spans="1:12" x14ac:dyDescent="0.3">
      <c r="A2" t="s">
        <v>225</v>
      </c>
      <c r="B2" t="s">
        <v>227</v>
      </c>
      <c r="K2" t="s">
        <v>225</v>
      </c>
      <c r="L2" t="s">
        <v>226</v>
      </c>
    </row>
    <row r="3" spans="1:12" x14ac:dyDescent="0.3">
      <c r="A3" t="s">
        <v>232</v>
      </c>
      <c r="B3">
        <v>40000</v>
      </c>
      <c r="K3" t="s">
        <v>228</v>
      </c>
      <c r="L3" t="s">
        <v>229</v>
      </c>
    </row>
    <row r="4" spans="1:12" x14ac:dyDescent="0.3">
      <c r="A4" t="s">
        <v>234</v>
      </c>
      <c r="B4">
        <v>10000</v>
      </c>
      <c r="K4" t="s">
        <v>230</v>
      </c>
      <c r="L4" t="s">
        <v>231</v>
      </c>
    </row>
    <row r="5" spans="1:12" x14ac:dyDescent="0.3">
      <c r="A5" t="s">
        <v>240</v>
      </c>
      <c r="B5">
        <v>40000</v>
      </c>
      <c r="G5">
        <v>150</v>
      </c>
      <c r="K5" t="s">
        <v>232</v>
      </c>
      <c r="L5" t="s">
        <v>233</v>
      </c>
    </row>
    <row r="6" spans="1:12" x14ac:dyDescent="0.3">
      <c r="A6" t="s">
        <v>242</v>
      </c>
      <c r="B6">
        <v>3000</v>
      </c>
      <c r="G6">
        <v>11.25</v>
      </c>
      <c r="K6" t="s">
        <v>234</v>
      </c>
      <c r="L6" t="s">
        <v>235</v>
      </c>
    </row>
    <row r="7" spans="1:12" x14ac:dyDescent="0.3">
      <c r="A7" t="s">
        <v>244</v>
      </c>
      <c r="B7">
        <v>0.02</v>
      </c>
      <c r="G7">
        <v>7.4999999999999997E-3</v>
      </c>
      <c r="K7" t="s">
        <v>236</v>
      </c>
      <c r="L7" t="s">
        <v>237</v>
      </c>
    </row>
    <row r="8" spans="1:12" x14ac:dyDescent="0.3">
      <c r="A8" t="s">
        <v>246</v>
      </c>
      <c r="B8">
        <v>0.01</v>
      </c>
      <c r="K8" t="s">
        <v>238</v>
      </c>
      <c r="L8" t="s">
        <v>239</v>
      </c>
    </row>
    <row r="9" spans="1:12" x14ac:dyDescent="0.3">
      <c r="A9" t="s">
        <v>250</v>
      </c>
      <c r="C9" t="s">
        <v>252</v>
      </c>
      <c r="D9" t="s">
        <v>273</v>
      </c>
      <c r="E9" t="s">
        <v>276</v>
      </c>
      <c r="F9" t="s">
        <v>280</v>
      </c>
      <c r="G9" t="s">
        <v>293</v>
      </c>
      <c r="K9" t="s">
        <v>240</v>
      </c>
      <c r="L9" t="s">
        <v>241</v>
      </c>
    </row>
    <row r="10" spans="1:12" x14ac:dyDescent="0.3">
      <c r="A10" t="s">
        <v>253</v>
      </c>
      <c r="C10" t="s">
        <v>255</v>
      </c>
      <c r="D10">
        <v>0.1</v>
      </c>
      <c r="E10">
        <v>0.1</v>
      </c>
      <c r="F10" t="s">
        <v>285</v>
      </c>
      <c r="G10" t="s">
        <v>292</v>
      </c>
      <c r="K10" t="s">
        <v>242</v>
      </c>
      <c r="L10" t="s">
        <v>243</v>
      </c>
    </row>
    <row r="11" spans="1:12" x14ac:dyDescent="0.3">
      <c r="A11" t="s">
        <v>256</v>
      </c>
      <c r="C11" t="s">
        <v>258</v>
      </c>
      <c r="D11">
        <v>0</v>
      </c>
      <c r="E11">
        <v>0.5</v>
      </c>
      <c r="F11" t="s">
        <v>286</v>
      </c>
      <c r="G11" t="s">
        <v>293</v>
      </c>
      <c r="K11" t="s">
        <v>244</v>
      </c>
      <c r="L11" t="s">
        <v>245</v>
      </c>
    </row>
    <row r="12" spans="1:12" x14ac:dyDescent="0.3">
      <c r="A12" t="s">
        <v>259</v>
      </c>
      <c r="C12" t="s">
        <v>261</v>
      </c>
      <c r="D12">
        <v>0.44500000000000001</v>
      </c>
      <c r="E12">
        <v>0.1</v>
      </c>
      <c r="F12" t="s">
        <v>287</v>
      </c>
      <c r="G12" t="s">
        <v>292</v>
      </c>
      <c r="K12" t="s">
        <v>246</v>
      </c>
      <c r="L12" t="s">
        <v>247</v>
      </c>
    </row>
    <row r="13" spans="1:12" x14ac:dyDescent="0.3">
      <c r="A13" t="s">
        <v>262</v>
      </c>
      <c r="C13">
        <v>0</v>
      </c>
      <c r="D13">
        <v>0</v>
      </c>
      <c r="E13">
        <v>0.8</v>
      </c>
      <c r="F13" t="s">
        <v>288</v>
      </c>
      <c r="K13" t="s">
        <v>248</v>
      </c>
      <c r="L13" t="s">
        <v>249</v>
      </c>
    </row>
    <row r="14" spans="1:12" x14ac:dyDescent="0.3">
      <c r="A14" t="s">
        <v>264</v>
      </c>
      <c r="C14">
        <v>0</v>
      </c>
      <c r="D14">
        <v>0</v>
      </c>
      <c r="E14">
        <v>0</v>
      </c>
      <c r="F14">
        <v>0</v>
      </c>
      <c r="G14">
        <v>0</v>
      </c>
      <c r="K14" t="s">
        <v>62</v>
      </c>
      <c r="L14" t="s">
        <v>282</v>
      </c>
    </row>
    <row r="15" spans="1:12" x14ac:dyDescent="0.3">
      <c r="A15" t="s">
        <v>266</v>
      </c>
      <c r="C15">
        <v>0</v>
      </c>
      <c r="D15">
        <v>0</v>
      </c>
      <c r="E15" t="s">
        <v>279</v>
      </c>
      <c r="F15" t="s">
        <v>289</v>
      </c>
      <c r="G15">
        <v>0</v>
      </c>
      <c r="K15" t="s">
        <v>250</v>
      </c>
      <c r="L15" t="s">
        <v>251</v>
      </c>
    </row>
    <row r="16" spans="1:12" x14ac:dyDescent="0.3">
      <c r="A16" t="s">
        <v>268</v>
      </c>
      <c r="C16" t="s">
        <v>270</v>
      </c>
      <c r="E16" t="s">
        <v>275</v>
      </c>
      <c r="F16" t="s">
        <v>290</v>
      </c>
      <c r="G16" t="s">
        <v>291</v>
      </c>
      <c r="K16" t="s">
        <v>253</v>
      </c>
      <c r="L16" t="s">
        <v>254</v>
      </c>
    </row>
    <row r="17" spans="1:12" x14ac:dyDescent="0.3">
      <c r="K17" t="s">
        <v>256</v>
      </c>
      <c r="L17" t="s">
        <v>257</v>
      </c>
    </row>
    <row r="18" spans="1:12" x14ac:dyDescent="0.3">
      <c r="K18" t="s">
        <v>259</v>
      </c>
      <c r="L18" t="s">
        <v>260</v>
      </c>
    </row>
    <row r="19" spans="1:12" x14ac:dyDescent="0.3">
      <c r="A19" t="s">
        <v>272</v>
      </c>
      <c r="K19" t="s">
        <v>262</v>
      </c>
      <c r="L19" t="s">
        <v>263</v>
      </c>
    </row>
    <row r="20" spans="1:12" x14ac:dyDescent="0.3">
      <c r="A20" t="s">
        <v>271</v>
      </c>
      <c r="K20" t="s">
        <v>264</v>
      </c>
      <c r="L20" t="s">
        <v>265</v>
      </c>
    </row>
    <row r="21" spans="1:12" x14ac:dyDescent="0.3">
      <c r="A21" t="s">
        <v>274</v>
      </c>
      <c r="K21" t="s">
        <v>266</v>
      </c>
      <c r="L21" t="s">
        <v>267</v>
      </c>
    </row>
    <row r="22" spans="1:12" x14ac:dyDescent="0.3">
      <c r="A22" t="s">
        <v>277</v>
      </c>
      <c r="K22" t="s">
        <v>268</v>
      </c>
      <c r="L22" t="s">
        <v>269</v>
      </c>
    </row>
    <row r="23" spans="1:12" x14ac:dyDescent="0.3">
      <c r="A23" t="s">
        <v>278</v>
      </c>
    </row>
    <row r="24" spans="1:12" x14ac:dyDescent="0.3">
      <c r="A24" t="s">
        <v>281</v>
      </c>
    </row>
    <row r="25" spans="1:12" x14ac:dyDescent="0.3">
      <c r="A25" t="s">
        <v>283</v>
      </c>
    </row>
    <row r="26" spans="1:12" x14ac:dyDescent="0.3">
      <c r="A26" t="s">
        <v>284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A0A0D-C8C4-4B95-9301-D0901FBE12F4}">
  <dimension ref="A1:H19"/>
  <sheetViews>
    <sheetView topLeftCell="A13" workbookViewId="0">
      <selection activeCell="F27" sqref="F27"/>
    </sheetView>
  </sheetViews>
  <sheetFormatPr defaultRowHeight="14.4" x14ac:dyDescent="0.3"/>
  <sheetData>
    <row r="1" spans="1:8" x14ac:dyDescent="0.3">
      <c r="A1" t="s">
        <v>170</v>
      </c>
    </row>
    <row r="2" spans="1:8" x14ac:dyDescent="0.3">
      <c r="A2" t="s">
        <v>171</v>
      </c>
    </row>
    <row r="4" spans="1:8" x14ac:dyDescent="0.3">
      <c r="A4" t="s">
        <v>39</v>
      </c>
      <c r="B4" t="s">
        <v>191</v>
      </c>
      <c r="C4" t="s">
        <v>192</v>
      </c>
      <c r="D4" t="s">
        <v>172</v>
      </c>
    </row>
    <row r="5" spans="1:8" x14ac:dyDescent="0.3">
      <c r="A5" t="s">
        <v>173</v>
      </c>
    </row>
    <row r="6" spans="1:8" x14ac:dyDescent="0.3">
      <c r="A6" t="s">
        <v>174</v>
      </c>
      <c r="B6">
        <v>1019</v>
      </c>
      <c r="C6">
        <v>11190</v>
      </c>
      <c r="D6" t="s">
        <v>175</v>
      </c>
    </row>
    <row r="7" spans="1:8" x14ac:dyDescent="0.3">
      <c r="A7" t="s">
        <v>176</v>
      </c>
      <c r="G7" t="s">
        <v>193</v>
      </c>
      <c r="H7" t="s">
        <v>194</v>
      </c>
    </row>
    <row r="8" spans="1:8" x14ac:dyDescent="0.3">
      <c r="A8" t="s">
        <v>177</v>
      </c>
      <c r="B8">
        <v>1500</v>
      </c>
      <c r="C8">
        <v>12000</v>
      </c>
      <c r="D8" t="s">
        <v>178</v>
      </c>
      <c r="G8">
        <f>AVERAGE(B8:B13)</f>
        <v>630.16666666666663</v>
      </c>
      <c r="H8">
        <f>AVERAGE(C8:C13)</f>
        <v>2720.5</v>
      </c>
    </row>
    <row r="9" spans="1:8" x14ac:dyDescent="0.3">
      <c r="A9" t="s">
        <v>179</v>
      </c>
      <c r="B9">
        <v>1400</v>
      </c>
      <c r="C9">
        <v>3300</v>
      </c>
      <c r="D9" t="s">
        <v>178</v>
      </c>
    </row>
    <row r="10" spans="1:8" x14ac:dyDescent="0.3">
      <c r="A10" t="s">
        <v>180</v>
      </c>
      <c r="B10">
        <v>500</v>
      </c>
      <c r="C10">
        <v>500</v>
      </c>
      <c r="D10" t="s">
        <v>181</v>
      </c>
    </row>
    <row r="11" spans="1:8" x14ac:dyDescent="0.3">
      <c r="A11" t="s">
        <v>182</v>
      </c>
      <c r="B11">
        <v>20</v>
      </c>
      <c r="C11">
        <v>24</v>
      </c>
      <c r="D11" t="s">
        <v>178</v>
      </c>
    </row>
    <row r="12" spans="1:8" x14ac:dyDescent="0.3">
      <c r="A12" t="s">
        <v>183</v>
      </c>
      <c r="B12">
        <v>300</v>
      </c>
      <c r="C12">
        <v>400</v>
      </c>
      <c r="D12" t="s">
        <v>184</v>
      </c>
    </row>
    <row r="13" spans="1:8" x14ac:dyDescent="0.3">
      <c r="A13" t="s">
        <v>185</v>
      </c>
      <c r="B13">
        <v>61</v>
      </c>
      <c r="C13">
        <v>99</v>
      </c>
      <c r="D13" t="s">
        <v>178</v>
      </c>
    </row>
    <row r="14" spans="1:8" x14ac:dyDescent="0.3">
      <c r="A14" t="s">
        <v>186</v>
      </c>
    </row>
    <row r="15" spans="1:8" x14ac:dyDescent="0.3">
      <c r="A15" t="s">
        <v>187</v>
      </c>
      <c r="B15">
        <v>200</v>
      </c>
      <c r="C15">
        <v>500</v>
      </c>
      <c r="F15" t="s">
        <v>195</v>
      </c>
    </row>
    <row r="18" spans="1:1" x14ac:dyDescent="0.3">
      <c r="A18" s="3" t="s">
        <v>199</v>
      </c>
    </row>
    <row r="19" spans="1:1" x14ac:dyDescent="0.3">
      <c r="A19" t="s">
        <v>198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0D613-561D-4AEF-8987-2D25814E2080}">
  <dimension ref="A1:N73"/>
  <sheetViews>
    <sheetView tabSelected="1" topLeftCell="A61" workbookViewId="0">
      <selection activeCell="I73" sqref="I73"/>
    </sheetView>
  </sheetViews>
  <sheetFormatPr defaultRowHeight="14.4" x14ac:dyDescent="0.3"/>
  <sheetData>
    <row r="1" spans="1:14" x14ac:dyDescent="0.3">
      <c r="A1" t="s">
        <v>79</v>
      </c>
      <c r="B1" t="s">
        <v>111</v>
      </c>
      <c r="C1" t="s">
        <v>108</v>
      </c>
      <c r="D1" t="s">
        <v>9</v>
      </c>
      <c r="H1" t="s">
        <v>198</v>
      </c>
    </row>
    <row r="2" spans="1:14" x14ac:dyDescent="0.3">
      <c r="A2" t="s">
        <v>107</v>
      </c>
      <c r="B2" t="s">
        <v>110</v>
      </c>
      <c r="C2" t="s">
        <v>109</v>
      </c>
      <c r="D2" t="s">
        <v>112</v>
      </c>
      <c r="H2" t="s">
        <v>200</v>
      </c>
      <c r="I2" t="s">
        <v>202</v>
      </c>
      <c r="J2" t="s">
        <v>205</v>
      </c>
      <c r="L2" t="s">
        <v>212</v>
      </c>
      <c r="M2" t="s">
        <v>217</v>
      </c>
      <c r="N2" t="s">
        <v>216</v>
      </c>
    </row>
    <row r="3" spans="1:14" x14ac:dyDescent="0.3">
      <c r="A3" t="s">
        <v>142</v>
      </c>
      <c r="C3" s="2">
        <v>0.95</v>
      </c>
      <c r="D3" t="s">
        <v>142</v>
      </c>
      <c r="H3" t="s">
        <v>16</v>
      </c>
      <c r="I3" t="s">
        <v>204</v>
      </c>
      <c r="J3" t="s">
        <v>206</v>
      </c>
      <c r="L3" t="s">
        <v>213</v>
      </c>
    </row>
    <row r="4" spans="1:14" x14ac:dyDescent="0.3">
      <c r="A4" t="s">
        <v>140</v>
      </c>
      <c r="C4" s="2">
        <v>1</v>
      </c>
      <c r="D4" t="s">
        <v>142</v>
      </c>
      <c r="H4" t="s">
        <v>201</v>
      </c>
      <c r="I4" t="s">
        <v>203</v>
      </c>
      <c r="J4" t="s">
        <v>207</v>
      </c>
    </row>
    <row r="5" spans="1:14" x14ac:dyDescent="0.3">
      <c r="A5" t="s">
        <v>103</v>
      </c>
      <c r="C5" s="2">
        <v>0.97</v>
      </c>
      <c r="D5" t="s">
        <v>142</v>
      </c>
    </row>
    <row r="6" spans="1:14" x14ac:dyDescent="0.3">
      <c r="A6" t="s">
        <v>141</v>
      </c>
      <c r="C6" s="2">
        <v>0.59</v>
      </c>
    </row>
    <row r="8" spans="1:14" x14ac:dyDescent="0.3">
      <c r="A8" t="s">
        <v>79</v>
      </c>
      <c r="B8" t="s">
        <v>111</v>
      </c>
      <c r="C8" t="s">
        <v>108</v>
      </c>
      <c r="D8" t="s">
        <v>153</v>
      </c>
      <c r="E8" t="s">
        <v>9</v>
      </c>
      <c r="G8" t="s">
        <v>311</v>
      </c>
      <c r="H8" t="s">
        <v>312</v>
      </c>
      <c r="I8" t="s">
        <v>313</v>
      </c>
    </row>
    <row r="9" spans="1:14" x14ac:dyDescent="0.3">
      <c r="A9" t="s">
        <v>152</v>
      </c>
      <c r="B9">
        <v>0.3</v>
      </c>
      <c r="C9" s="2">
        <v>0.78500000000000003</v>
      </c>
      <c r="D9">
        <v>7.1999999999999995E-2</v>
      </c>
      <c r="E9" t="s">
        <v>154</v>
      </c>
      <c r="I9">
        <v>36.8119011</v>
      </c>
      <c r="J9">
        <f>B9/I9</f>
        <v>8.1495383567679967E-3</v>
      </c>
    </row>
    <row r="10" spans="1:14" x14ac:dyDescent="0.3">
      <c r="A10" t="s">
        <v>40</v>
      </c>
      <c r="B10">
        <v>0.3</v>
      </c>
      <c r="C10" s="2">
        <v>0.84099999999999997</v>
      </c>
      <c r="D10">
        <v>1E-3</v>
      </c>
      <c r="E10" t="s">
        <v>154</v>
      </c>
      <c r="I10">
        <v>36.8119011</v>
      </c>
      <c r="J10">
        <f t="shared" ref="J10:J26" si="0">B10/I10</f>
        <v>8.1495383567679967E-3</v>
      </c>
    </row>
    <row r="11" spans="1:14" x14ac:dyDescent="0.3">
      <c r="A11" t="s">
        <v>40</v>
      </c>
      <c r="B11">
        <v>1.7</v>
      </c>
      <c r="C11" s="2">
        <v>0.98099999999999998</v>
      </c>
      <c r="D11">
        <v>1.2E-2</v>
      </c>
      <c r="E11" t="s">
        <v>154</v>
      </c>
      <c r="I11">
        <v>36.8119011</v>
      </c>
      <c r="J11">
        <f t="shared" si="0"/>
        <v>4.6180717355018643E-2</v>
      </c>
    </row>
    <row r="12" spans="1:14" x14ac:dyDescent="0.3">
      <c r="A12" t="s">
        <v>40</v>
      </c>
      <c r="B12">
        <v>8.5</v>
      </c>
      <c r="C12" s="2">
        <v>0.95599999999999996</v>
      </c>
      <c r="D12">
        <v>1E-3</v>
      </c>
      <c r="E12" t="s">
        <v>154</v>
      </c>
      <c r="I12">
        <v>36.8119011</v>
      </c>
      <c r="J12">
        <f t="shared" si="0"/>
        <v>0.23090358677509323</v>
      </c>
    </row>
    <row r="13" spans="1:14" x14ac:dyDescent="0.3">
      <c r="A13" t="s">
        <v>40</v>
      </c>
      <c r="B13">
        <v>26</v>
      </c>
      <c r="C13" s="2">
        <v>0.90100000000000002</v>
      </c>
      <c r="D13">
        <v>2.1999999999999999E-2</v>
      </c>
      <c r="E13" t="s">
        <v>154</v>
      </c>
      <c r="I13">
        <v>36.8119011</v>
      </c>
      <c r="J13">
        <f t="shared" si="0"/>
        <v>0.70629332425322633</v>
      </c>
    </row>
    <row r="14" spans="1:14" x14ac:dyDescent="0.3">
      <c r="A14" t="s">
        <v>40</v>
      </c>
      <c r="B14">
        <v>2.4</v>
      </c>
      <c r="C14" s="2">
        <v>1</v>
      </c>
      <c r="D14">
        <v>7.3999999999999996E-2</v>
      </c>
      <c r="E14" t="s">
        <v>154</v>
      </c>
      <c r="I14">
        <v>36.8119011</v>
      </c>
      <c r="J14">
        <f t="shared" si="0"/>
        <v>6.5196306854143973E-2</v>
      </c>
    </row>
    <row r="15" spans="1:14" x14ac:dyDescent="0.3">
      <c r="A15" t="s">
        <v>99</v>
      </c>
      <c r="B15">
        <v>0.54400000000000004</v>
      </c>
      <c r="C15" s="2">
        <v>-0.94399999999999995</v>
      </c>
      <c r="D15" t="s">
        <v>297</v>
      </c>
      <c r="E15" t="s">
        <v>300</v>
      </c>
      <c r="G15">
        <f xml:space="preserve"> 4.3*0.35</f>
        <v>1.5049999999999999</v>
      </c>
      <c r="H15">
        <f>B15/G15</f>
        <v>0.36146179401993361</v>
      </c>
      <c r="I15">
        <v>2.7</v>
      </c>
      <c r="J15">
        <f t="shared" si="0"/>
        <v>0.20148148148148148</v>
      </c>
    </row>
    <row r="16" spans="1:14" x14ac:dyDescent="0.3">
      <c r="A16" t="s">
        <v>99</v>
      </c>
      <c r="B16">
        <v>0.54400000000000004</v>
      </c>
      <c r="C16" s="2">
        <v>-0.19800000000000001</v>
      </c>
      <c r="D16" t="s">
        <v>296</v>
      </c>
      <c r="E16" t="s">
        <v>300</v>
      </c>
      <c r="G16">
        <f>4.3*0.3</f>
        <v>1.2899999999999998</v>
      </c>
      <c r="H16">
        <f t="shared" ref="H16:H65" si="1">B16/G16</f>
        <v>0.42170542635658925</v>
      </c>
      <c r="I16">
        <v>2.7</v>
      </c>
      <c r="J16">
        <f t="shared" si="0"/>
        <v>0.20148148148148148</v>
      </c>
    </row>
    <row r="17" spans="1:10" x14ac:dyDescent="0.3">
      <c r="A17" t="s">
        <v>99</v>
      </c>
      <c r="B17">
        <v>0.54400000000000004</v>
      </c>
      <c r="C17" s="2">
        <f>-43.4%</f>
        <v>-0.434</v>
      </c>
      <c r="D17" t="s">
        <v>298</v>
      </c>
      <c r="E17" t="s">
        <v>300</v>
      </c>
      <c r="G17">
        <f>3.5*0.3</f>
        <v>1.05</v>
      </c>
      <c r="H17">
        <f t="shared" si="1"/>
        <v>0.51809523809523816</v>
      </c>
      <c r="I17">
        <v>1.6</v>
      </c>
      <c r="J17">
        <f t="shared" si="0"/>
        <v>0.34</v>
      </c>
    </row>
    <row r="18" spans="1:10" x14ac:dyDescent="0.3">
      <c r="A18" t="s">
        <v>99</v>
      </c>
      <c r="B18">
        <v>0.47099999999999997</v>
      </c>
      <c r="C18" s="2">
        <v>-0.90799999999999992</v>
      </c>
      <c r="D18" t="s">
        <v>299</v>
      </c>
      <c r="E18" t="s">
        <v>300</v>
      </c>
      <c r="G18">
        <f xml:space="preserve"> 4.3*0.35</f>
        <v>1.5049999999999999</v>
      </c>
      <c r="H18">
        <f t="shared" si="1"/>
        <v>0.31295681063122927</v>
      </c>
      <c r="I18">
        <v>2.7</v>
      </c>
      <c r="J18">
        <f t="shared" si="0"/>
        <v>0.17444444444444443</v>
      </c>
    </row>
    <row r="19" spans="1:10" x14ac:dyDescent="0.3">
      <c r="A19" t="s">
        <v>99</v>
      </c>
      <c r="B19">
        <v>0.47099999999999997</v>
      </c>
      <c r="C19" s="2">
        <v>7.6999999999999999E-2</v>
      </c>
      <c r="D19" t="s">
        <v>296</v>
      </c>
      <c r="E19" t="s">
        <v>300</v>
      </c>
      <c r="G19">
        <f>4.3*0.3</f>
        <v>1.2899999999999998</v>
      </c>
      <c r="H19">
        <f t="shared" si="1"/>
        <v>0.36511627906976746</v>
      </c>
      <c r="I19">
        <v>2.7</v>
      </c>
      <c r="J19">
        <f t="shared" si="0"/>
        <v>0.17444444444444443</v>
      </c>
    </row>
    <row r="20" spans="1:10" x14ac:dyDescent="0.3">
      <c r="A20" t="s">
        <v>99</v>
      </c>
      <c r="B20">
        <v>0.47099999999999997</v>
      </c>
      <c r="C20" s="2">
        <v>-0.51100000000000001</v>
      </c>
      <c r="D20" t="s">
        <v>298</v>
      </c>
      <c r="E20" t="s">
        <v>300</v>
      </c>
      <c r="G20">
        <f>3.5*0.3</f>
        <v>1.05</v>
      </c>
      <c r="H20">
        <f t="shared" si="1"/>
        <v>0.44857142857142851</v>
      </c>
      <c r="I20">
        <v>1.6</v>
      </c>
      <c r="J20">
        <f t="shared" si="0"/>
        <v>0.29437499999999994</v>
      </c>
    </row>
    <row r="21" spans="1:10" x14ac:dyDescent="0.3">
      <c r="A21" t="s">
        <v>100</v>
      </c>
      <c r="B21">
        <v>0.54400000000000004</v>
      </c>
      <c r="C21" s="2">
        <v>-0.92500000000000004</v>
      </c>
      <c r="D21" t="s">
        <v>297</v>
      </c>
      <c r="E21" t="s">
        <v>300</v>
      </c>
      <c r="G21">
        <f xml:space="preserve"> 4.3*0.35</f>
        <v>1.5049999999999999</v>
      </c>
      <c r="H21">
        <f t="shared" si="1"/>
        <v>0.36146179401993361</v>
      </c>
      <c r="I21">
        <v>2.7</v>
      </c>
      <c r="J21">
        <f t="shared" si="0"/>
        <v>0.20148148148148148</v>
      </c>
    </row>
    <row r="22" spans="1:10" x14ac:dyDescent="0.3">
      <c r="A22" t="s">
        <v>100</v>
      </c>
      <c r="B22">
        <v>0.54400000000000004</v>
      </c>
      <c r="C22" s="2">
        <v>-0.14000000000000001</v>
      </c>
      <c r="D22" t="s">
        <v>296</v>
      </c>
      <c r="E22" t="s">
        <v>300</v>
      </c>
      <c r="G22">
        <f>4.3*0.3</f>
        <v>1.2899999999999998</v>
      </c>
      <c r="H22">
        <f t="shared" si="1"/>
        <v>0.42170542635658925</v>
      </c>
      <c r="I22">
        <v>2.7</v>
      </c>
      <c r="J22">
        <f t="shared" si="0"/>
        <v>0.20148148148148148</v>
      </c>
    </row>
    <row r="23" spans="1:10" x14ac:dyDescent="0.3">
      <c r="A23" t="s">
        <v>100</v>
      </c>
      <c r="B23">
        <v>0.54400000000000004</v>
      </c>
      <c r="C23" s="2">
        <v>-0.188</v>
      </c>
      <c r="D23" t="s">
        <v>296</v>
      </c>
      <c r="E23" t="s">
        <v>300</v>
      </c>
      <c r="G23">
        <f>3.5*0.3</f>
        <v>1.05</v>
      </c>
      <c r="H23">
        <f t="shared" si="1"/>
        <v>0.51809523809523816</v>
      </c>
      <c r="I23">
        <v>1.6</v>
      </c>
      <c r="J23">
        <f t="shared" si="0"/>
        <v>0.34</v>
      </c>
    </row>
    <row r="24" spans="1:10" x14ac:dyDescent="0.3">
      <c r="A24" t="s">
        <v>100</v>
      </c>
      <c r="B24">
        <v>0.47099999999999997</v>
      </c>
      <c r="C24" s="2">
        <v>-0.79500000000000004</v>
      </c>
      <c r="D24" t="s">
        <v>297</v>
      </c>
      <c r="E24" t="s">
        <v>300</v>
      </c>
      <c r="G24">
        <f xml:space="preserve"> 4.3*0.35</f>
        <v>1.5049999999999999</v>
      </c>
      <c r="H24">
        <f t="shared" si="1"/>
        <v>0.31295681063122927</v>
      </c>
      <c r="I24">
        <v>2.7</v>
      </c>
      <c r="J24">
        <f t="shared" si="0"/>
        <v>0.17444444444444443</v>
      </c>
    </row>
    <row r="25" spans="1:10" x14ac:dyDescent="0.3">
      <c r="A25" t="s">
        <v>100</v>
      </c>
      <c r="B25">
        <v>0.47099999999999997</v>
      </c>
      <c r="C25" s="2">
        <v>1.05</v>
      </c>
      <c r="D25" t="s">
        <v>298</v>
      </c>
      <c r="E25" t="s">
        <v>300</v>
      </c>
      <c r="G25">
        <f>4.3*0.3</f>
        <v>1.2899999999999998</v>
      </c>
      <c r="H25">
        <f t="shared" si="1"/>
        <v>0.36511627906976746</v>
      </c>
      <c r="I25">
        <v>2.7</v>
      </c>
      <c r="J25">
        <f t="shared" si="0"/>
        <v>0.17444444444444443</v>
      </c>
    </row>
    <row r="26" spans="1:10" x14ac:dyDescent="0.3">
      <c r="A26" t="s">
        <v>100</v>
      </c>
      <c r="B26">
        <v>0.47099999999999997</v>
      </c>
      <c r="C26" s="2">
        <v>1.03</v>
      </c>
      <c r="D26" t="s">
        <v>296</v>
      </c>
      <c r="E26" t="s">
        <v>300</v>
      </c>
      <c r="G26">
        <f>3.5*0.3</f>
        <v>1.05</v>
      </c>
      <c r="H26">
        <f t="shared" si="1"/>
        <v>0.44857142857142851</v>
      </c>
      <c r="I26">
        <v>1.6</v>
      </c>
      <c r="J26">
        <f t="shared" si="0"/>
        <v>0.29437499999999994</v>
      </c>
    </row>
    <row r="27" spans="1:10" x14ac:dyDescent="0.3">
      <c r="A27" t="s">
        <v>301</v>
      </c>
      <c r="B27">
        <v>4.1100000000000003</v>
      </c>
      <c r="C27" s="2">
        <v>-0.84599999999999997</v>
      </c>
      <c r="D27">
        <f>(1-(0.109/0.708))</f>
        <v>0.846045197740113</v>
      </c>
      <c r="E27" t="s">
        <v>303</v>
      </c>
      <c r="G27">
        <f>1.5 * 0.3</f>
        <v>0.44999999999999996</v>
      </c>
      <c r="H27">
        <f t="shared" si="1"/>
        <v>9.1333333333333346</v>
      </c>
      <c r="I27">
        <v>2.3148148148000001</v>
      </c>
      <c r="J27">
        <f>B27/I27</f>
        <v>1.7755200000113633</v>
      </c>
    </row>
    <row r="28" spans="1:10" x14ac:dyDescent="0.3">
      <c r="A28" t="s">
        <v>301</v>
      </c>
      <c r="B28">
        <v>4.1100000000000003</v>
      </c>
      <c r="C28" s="2">
        <v>-0.83699999999999997</v>
      </c>
      <c r="D28">
        <f>1-(0.848/5.234)</f>
        <v>0.83798242262132216</v>
      </c>
      <c r="E28" t="s">
        <v>303</v>
      </c>
      <c r="G28">
        <f t="shared" ref="G28:G32" si="2">1.5 * 0.3</f>
        <v>0.44999999999999996</v>
      </c>
      <c r="H28">
        <f t="shared" si="1"/>
        <v>9.1333333333333346</v>
      </c>
      <c r="I28">
        <v>2.3148148148000001</v>
      </c>
      <c r="J28">
        <f t="shared" ref="J28:J32" si="3">B28/I28</f>
        <v>1.7755200000113633</v>
      </c>
    </row>
    <row r="29" spans="1:10" x14ac:dyDescent="0.3">
      <c r="A29" t="s">
        <v>301</v>
      </c>
      <c r="B29">
        <v>4.1100000000000003</v>
      </c>
      <c r="C29" s="2">
        <v>-0.98399999999999999</v>
      </c>
      <c r="D29">
        <f>1-(0.133/8.55)</f>
        <v>0.98444444444444446</v>
      </c>
      <c r="E29" t="s">
        <v>303</v>
      </c>
      <c r="G29">
        <f t="shared" si="2"/>
        <v>0.44999999999999996</v>
      </c>
      <c r="H29">
        <f t="shared" si="1"/>
        <v>9.1333333333333346</v>
      </c>
      <c r="I29">
        <v>2.3148148148000001</v>
      </c>
      <c r="J29">
        <f t="shared" si="3"/>
        <v>1.7755200000113633</v>
      </c>
    </row>
    <row r="30" spans="1:10" x14ac:dyDescent="0.3">
      <c r="A30" t="s">
        <v>302</v>
      </c>
      <c r="B30">
        <v>4.1100000000000003</v>
      </c>
      <c r="C30">
        <v>-100</v>
      </c>
      <c r="E30" t="s">
        <v>303</v>
      </c>
      <c r="G30">
        <f t="shared" si="2"/>
        <v>0.44999999999999996</v>
      </c>
      <c r="H30">
        <f t="shared" si="1"/>
        <v>9.1333333333333346</v>
      </c>
      <c r="I30">
        <v>2.3148148148000001</v>
      </c>
      <c r="J30">
        <f t="shared" si="3"/>
        <v>1.7755200000113633</v>
      </c>
    </row>
    <row r="31" spans="1:10" x14ac:dyDescent="0.3">
      <c r="A31" t="s">
        <v>302</v>
      </c>
      <c r="B31">
        <v>4.1100000000000003</v>
      </c>
      <c r="C31">
        <v>-100</v>
      </c>
      <c r="E31" t="s">
        <v>303</v>
      </c>
      <c r="G31">
        <f t="shared" si="2"/>
        <v>0.44999999999999996</v>
      </c>
      <c r="H31">
        <f t="shared" si="1"/>
        <v>9.1333333333333346</v>
      </c>
      <c r="I31">
        <v>2.3148148148000001</v>
      </c>
      <c r="J31">
        <f t="shared" si="3"/>
        <v>1.7755200000113633</v>
      </c>
    </row>
    <row r="32" spans="1:10" x14ac:dyDescent="0.3">
      <c r="A32" t="s">
        <v>302</v>
      </c>
      <c r="B32">
        <v>4.1100000000000003</v>
      </c>
      <c r="C32">
        <v>-100</v>
      </c>
      <c r="E32" t="s">
        <v>303</v>
      </c>
      <c r="G32">
        <f t="shared" si="2"/>
        <v>0.44999999999999996</v>
      </c>
      <c r="H32">
        <f t="shared" si="1"/>
        <v>9.1333333333333346</v>
      </c>
      <c r="I32">
        <v>2.3148148148000001</v>
      </c>
      <c r="J32">
        <f t="shared" si="3"/>
        <v>1.7755200000113633</v>
      </c>
    </row>
    <row r="33" spans="1:8" x14ac:dyDescent="0.3">
      <c r="A33" t="s">
        <v>304</v>
      </c>
      <c r="B33">
        <v>0.27810000000000001</v>
      </c>
      <c r="C33">
        <v>-51.25</v>
      </c>
      <c r="E33" t="s">
        <v>306</v>
      </c>
      <c r="G33">
        <f>1.4895</f>
        <v>1.4895</v>
      </c>
      <c r="H33">
        <f t="shared" si="1"/>
        <v>0.1867069486404834</v>
      </c>
    </row>
    <row r="34" spans="1:8" x14ac:dyDescent="0.3">
      <c r="A34" t="s">
        <v>304</v>
      </c>
      <c r="B34">
        <v>0.27810000000000001</v>
      </c>
      <c r="C34">
        <v>-85.52</v>
      </c>
      <c r="E34" t="s">
        <v>306</v>
      </c>
      <c r="G34">
        <f t="shared" ref="G34:G64" si="4">1.4895</f>
        <v>1.4895</v>
      </c>
      <c r="H34">
        <f t="shared" si="1"/>
        <v>0.1867069486404834</v>
      </c>
    </row>
    <row r="35" spans="1:8" x14ac:dyDescent="0.3">
      <c r="A35" t="s">
        <v>304</v>
      </c>
      <c r="B35">
        <v>0.27810000000000001</v>
      </c>
      <c r="C35">
        <v>-13.23</v>
      </c>
      <c r="E35" t="s">
        <v>306</v>
      </c>
      <c r="G35">
        <f t="shared" si="4"/>
        <v>1.4895</v>
      </c>
      <c r="H35">
        <f t="shared" si="1"/>
        <v>0.1867069486404834</v>
      </c>
    </row>
    <row r="36" spans="1:8" x14ac:dyDescent="0.3">
      <c r="A36" t="s">
        <v>304</v>
      </c>
      <c r="B36">
        <v>0.27810000000000001</v>
      </c>
      <c r="C36">
        <v>-62.9</v>
      </c>
      <c r="E36" t="s">
        <v>306</v>
      </c>
      <c r="G36">
        <f t="shared" si="4"/>
        <v>1.4895</v>
      </c>
      <c r="H36">
        <f t="shared" si="1"/>
        <v>0.1867069486404834</v>
      </c>
    </row>
    <row r="37" spans="1:8" x14ac:dyDescent="0.3">
      <c r="A37" t="s">
        <v>304</v>
      </c>
      <c r="B37">
        <v>0.18609999999999999</v>
      </c>
      <c r="C37">
        <v>-89.27</v>
      </c>
      <c r="E37" t="s">
        <v>306</v>
      </c>
      <c r="G37">
        <f t="shared" si="4"/>
        <v>1.4895</v>
      </c>
      <c r="H37">
        <f t="shared" si="1"/>
        <v>0.1249412554548506</v>
      </c>
    </row>
    <row r="38" spans="1:8" x14ac:dyDescent="0.3">
      <c r="A38" t="s">
        <v>304</v>
      </c>
      <c r="B38">
        <v>0.18609999999999999</v>
      </c>
      <c r="C38">
        <v>-95.29</v>
      </c>
      <c r="E38" t="s">
        <v>306</v>
      </c>
      <c r="G38">
        <f t="shared" si="4"/>
        <v>1.4895</v>
      </c>
      <c r="H38">
        <f t="shared" si="1"/>
        <v>0.1249412554548506</v>
      </c>
    </row>
    <row r="39" spans="1:8" x14ac:dyDescent="0.3">
      <c r="A39" t="s">
        <v>304</v>
      </c>
      <c r="B39">
        <v>0.18609999999999999</v>
      </c>
      <c r="C39">
        <v>-6.55</v>
      </c>
      <c r="E39" t="s">
        <v>306</v>
      </c>
      <c r="G39">
        <f t="shared" si="4"/>
        <v>1.4895</v>
      </c>
      <c r="H39">
        <f t="shared" si="1"/>
        <v>0.1249412554548506</v>
      </c>
    </row>
    <row r="40" spans="1:8" x14ac:dyDescent="0.3">
      <c r="A40" t="s">
        <v>304</v>
      </c>
      <c r="B40">
        <v>0.18609999999999999</v>
      </c>
      <c r="C40">
        <v>54.16</v>
      </c>
      <c r="E40" t="s">
        <v>306</v>
      </c>
      <c r="G40">
        <f t="shared" si="4"/>
        <v>1.4895</v>
      </c>
      <c r="H40">
        <f t="shared" si="1"/>
        <v>0.1249412554548506</v>
      </c>
    </row>
    <row r="41" spans="1:8" x14ac:dyDescent="0.3">
      <c r="A41" t="s">
        <v>304</v>
      </c>
      <c r="B41">
        <v>0.30370000000000003</v>
      </c>
      <c r="C41">
        <v>-20.37</v>
      </c>
      <c r="E41" t="s">
        <v>306</v>
      </c>
      <c r="G41">
        <f t="shared" si="4"/>
        <v>1.4895</v>
      </c>
      <c r="H41">
        <f t="shared" si="1"/>
        <v>0.20389392413561599</v>
      </c>
    </row>
    <row r="42" spans="1:8" x14ac:dyDescent="0.3">
      <c r="A42" t="s">
        <v>304</v>
      </c>
      <c r="B42">
        <v>0.30370000000000003</v>
      </c>
      <c r="C42">
        <v>-85.71</v>
      </c>
      <c r="E42" t="s">
        <v>306</v>
      </c>
      <c r="G42">
        <f t="shared" si="4"/>
        <v>1.4895</v>
      </c>
      <c r="H42">
        <f t="shared" si="1"/>
        <v>0.20389392413561599</v>
      </c>
    </row>
    <row r="43" spans="1:8" x14ac:dyDescent="0.3">
      <c r="A43" t="s">
        <v>304</v>
      </c>
      <c r="B43">
        <v>0.30370000000000003</v>
      </c>
      <c r="C43">
        <v>-0.77800000000000002</v>
      </c>
      <c r="E43" t="s">
        <v>306</v>
      </c>
      <c r="G43">
        <f t="shared" si="4"/>
        <v>1.4895</v>
      </c>
      <c r="H43">
        <f t="shared" si="1"/>
        <v>0.20389392413561599</v>
      </c>
    </row>
    <row r="44" spans="1:8" x14ac:dyDescent="0.3">
      <c r="A44" t="s">
        <v>304</v>
      </c>
      <c r="B44">
        <v>0.30370000000000003</v>
      </c>
      <c r="C44">
        <v>-67.319999999999993</v>
      </c>
      <c r="E44" t="s">
        <v>306</v>
      </c>
      <c r="G44">
        <f t="shared" si="4"/>
        <v>1.4895</v>
      </c>
      <c r="H44">
        <f t="shared" si="1"/>
        <v>0.20389392413561599</v>
      </c>
    </row>
    <row r="45" spans="1:8" x14ac:dyDescent="0.3">
      <c r="A45" t="s">
        <v>304</v>
      </c>
      <c r="B45">
        <v>8.2000000000000003E-2</v>
      </c>
      <c r="C45">
        <v>-62.67</v>
      </c>
      <c r="E45" t="s">
        <v>306</v>
      </c>
      <c r="G45">
        <f t="shared" si="4"/>
        <v>1.4895</v>
      </c>
      <c r="H45">
        <f t="shared" si="1"/>
        <v>5.5052030882846596E-2</v>
      </c>
    </row>
    <row r="46" spans="1:8" x14ac:dyDescent="0.3">
      <c r="A46" t="s">
        <v>304</v>
      </c>
      <c r="B46">
        <v>8.2000000000000003E-2</v>
      </c>
      <c r="C46">
        <v>-85.22</v>
      </c>
      <c r="E46" t="s">
        <v>306</v>
      </c>
      <c r="G46">
        <f t="shared" si="4"/>
        <v>1.4895</v>
      </c>
      <c r="H46">
        <f t="shared" si="1"/>
        <v>5.5052030882846596E-2</v>
      </c>
    </row>
    <row r="47" spans="1:8" x14ac:dyDescent="0.3">
      <c r="A47" t="s">
        <v>304</v>
      </c>
      <c r="B47">
        <v>8.2000000000000003E-2</v>
      </c>
      <c r="C47">
        <v>-98.3</v>
      </c>
      <c r="E47" t="s">
        <v>306</v>
      </c>
      <c r="G47">
        <f t="shared" si="4"/>
        <v>1.4895</v>
      </c>
      <c r="H47">
        <f t="shared" si="1"/>
        <v>5.5052030882846596E-2</v>
      </c>
    </row>
    <row r="48" spans="1:8" x14ac:dyDescent="0.3">
      <c r="A48" t="s">
        <v>304</v>
      </c>
      <c r="B48">
        <v>8.2000000000000003E-2</v>
      </c>
      <c r="C48">
        <v>-100</v>
      </c>
      <c r="E48" t="s">
        <v>306</v>
      </c>
      <c r="G48">
        <f t="shared" si="4"/>
        <v>1.4895</v>
      </c>
      <c r="H48">
        <f t="shared" si="1"/>
        <v>5.5052030882846596E-2</v>
      </c>
    </row>
    <row r="49" spans="1:8" x14ac:dyDescent="0.3">
      <c r="A49" t="s">
        <v>305</v>
      </c>
      <c r="B49">
        <v>0.27810000000000001</v>
      </c>
      <c r="C49">
        <v>-81.12</v>
      </c>
      <c r="E49" t="s">
        <v>306</v>
      </c>
      <c r="G49">
        <f t="shared" si="4"/>
        <v>1.4895</v>
      </c>
      <c r="H49">
        <f t="shared" si="1"/>
        <v>0.1867069486404834</v>
      </c>
    </row>
    <row r="50" spans="1:8" x14ac:dyDescent="0.3">
      <c r="A50" t="s">
        <v>305</v>
      </c>
      <c r="B50">
        <v>0.27810000000000001</v>
      </c>
      <c r="C50">
        <v>-59.52</v>
      </c>
      <c r="E50" t="s">
        <v>306</v>
      </c>
      <c r="G50">
        <f t="shared" si="4"/>
        <v>1.4895</v>
      </c>
      <c r="H50">
        <f t="shared" si="1"/>
        <v>0.1867069486404834</v>
      </c>
    </row>
    <row r="51" spans="1:8" x14ac:dyDescent="0.3">
      <c r="A51" t="s">
        <v>305</v>
      </c>
      <c r="B51">
        <v>0.27810000000000001</v>
      </c>
      <c r="C51">
        <v>100</v>
      </c>
      <c r="E51" t="s">
        <v>306</v>
      </c>
      <c r="G51">
        <f t="shared" si="4"/>
        <v>1.4895</v>
      </c>
      <c r="H51">
        <f t="shared" si="1"/>
        <v>0.1867069486404834</v>
      </c>
    </row>
    <row r="52" spans="1:8" x14ac:dyDescent="0.3">
      <c r="A52" t="s">
        <v>305</v>
      </c>
      <c r="B52">
        <v>0.27810000000000001</v>
      </c>
      <c r="C52">
        <v>53.84</v>
      </c>
      <c r="E52" t="s">
        <v>306</v>
      </c>
      <c r="G52">
        <f t="shared" si="4"/>
        <v>1.4895</v>
      </c>
      <c r="H52">
        <f t="shared" si="1"/>
        <v>0.1867069486404834</v>
      </c>
    </row>
    <row r="53" spans="1:8" x14ac:dyDescent="0.3">
      <c r="A53" t="s">
        <v>305</v>
      </c>
      <c r="B53">
        <v>0.18609999999999999</v>
      </c>
      <c r="C53">
        <v>-94.35</v>
      </c>
      <c r="E53" t="s">
        <v>306</v>
      </c>
      <c r="G53">
        <f t="shared" si="4"/>
        <v>1.4895</v>
      </c>
      <c r="H53">
        <f t="shared" si="1"/>
        <v>0.1249412554548506</v>
      </c>
    </row>
    <row r="54" spans="1:8" x14ac:dyDescent="0.3">
      <c r="A54" t="s">
        <v>305</v>
      </c>
      <c r="B54">
        <v>0.18609999999999999</v>
      </c>
      <c r="C54">
        <v>-88.59</v>
      </c>
      <c r="E54" t="s">
        <v>306</v>
      </c>
      <c r="G54">
        <f t="shared" si="4"/>
        <v>1.4895</v>
      </c>
      <c r="H54">
        <f t="shared" si="1"/>
        <v>0.1249412554548506</v>
      </c>
    </row>
    <row r="55" spans="1:8" x14ac:dyDescent="0.3">
      <c r="A55" t="s">
        <v>305</v>
      </c>
      <c r="B55">
        <v>0.18609999999999999</v>
      </c>
      <c r="C55">
        <v>-57.69</v>
      </c>
      <c r="E55" t="s">
        <v>306</v>
      </c>
      <c r="G55">
        <f t="shared" si="4"/>
        <v>1.4895</v>
      </c>
      <c r="H55">
        <f t="shared" si="1"/>
        <v>0.1249412554548506</v>
      </c>
    </row>
    <row r="56" spans="1:8" x14ac:dyDescent="0.3">
      <c r="A56" t="s">
        <v>305</v>
      </c>
      <c r="B56">
        <v>0.18609999999999999</v>
      </c>
      <c r="C56">
        <v>-23.18</v>
      </c>
      <c r="E56" t="s">
        <v>306</v>
      </c>
      <c r="G56">
        <f t="shared" si="4"/>
        <v>1.4895</v>
      </c>
      <c r="H56">
        <f t="shared" si="1"/>
        <v>0.1249412554548506</v>
      </c>
    </row>
    <row r="57" spans="1:8" x14ac:dyDescent="0.3">
      <c r="A57" t="s">
        <v>305</v>
      </c>
      <c r="B57">
        <v>0.30370000000000003</v>
      </c>
      <c r="C57">
        <v>-66.260000000000005</v>
      </c>
      <c r="E57" t="s">
        <v>306</v>
      </c>
      <c r="G57">
        <f t="shared" si="4"/>
        <v>1.4895</v>
      </c>
      <c r="H57">
        <f t="shared" si="1"/>
        <v>0.20389392413561599</v>
      </c>
    </row>
    <row r="58" spans="1:8" x14ac:dyDescent="0.3">
      <c r="A58" t="s">
        <v>305</v>
      </c>
      <c r="B58">
        <v>0.30370000000000003</v>
      </c>
      <c r="C58">
        <v>-60.83</v>
      </c>
      <c r="E58" t="s">
        <v>306</v>
      </c>
      <c r="G58">
        <f t="shared" si="4"/>
        <v>1.4895</v>
      </c>
      <c r="H58">
        <f t="shared" si="1"/>
        <v>0.20389392413561599</v>
      </c>
    </row>
    <row r="59" spans="1:8" x14ac:dyDescent="0.3">
      <c r="A59" t="s">
        <v>305</v>
      </c>
      <c r="B59">
        <v>0.30370000000000003</v>
      </c>
      <c r="C59">
        <v>-42.74</v>
      </c>
      <c r="E59" t="s">
        <v>306</v>
      </c>
      <c r="G59">
        <f t="shared" si="4"/>
        <v>1.4895</v>
      </c>
      <c r="H59">
        <f t="shared" si="1"/>
        <v>0.20389392413561599</v>
      </c>
    </row>
    <row r="60" spans="1:8" x14ac:dyDescent="0.3">
      <c r="A60" t="s">
        <v>305</v>
      </c>
      <c r="B60">
        <v>0.30370000000000003</v>
      </c>
      <c r="C60">
        <v>-28.57</v>
      </c>
      <c r="E60" t="s">
        <v>306</v>
      </c>
      <c r="G60">
        <f t="shared" si="4"/>
        <v>1.4895</v>
      </c>
      <c r="H60">
        <f t="shared" si="1"/>
        <v>0.20389392413561599</v>
      </c>
    </row>
    <row r="61" spans="1:8" x14ac:dyDescent="0.3">
      <c r="A61" t="s">
        <v>305</v>
      </c>
      <c r="B61">
        <v>8.2000000000000003E-2</v>
      </c>
      <c r="C61">
        <v>-95.91</v>
      </c>
      <c r="E61" t="s">
        <v>306</v>
      </c>
      <c r="G61">
        <f t="shared" si="4"/>
        <v>1.4895</v>
      </c>
      <c r="H61">
        <f t="shared" si="1"/>
        <v>5.5052030882846596E-2</v>
      </c>
    </row>
    <row r="62" spans="1:8" x14ac:dyDescent="0.3">
      <c r="A62" t="s">
        <v>305</v>
      </c>
      <c r="B62">
        <v>8.2000000000000003E-2</v>
      </c>
      <c r="C62">
        <v>-36.36</v>
      </c>
      <c r="E62" t="s">
        <v>306</v>
      </c>
      <c r="G62">
        <f t="shared" si="4"/>
        <v>1.4895</v>
      </c>
      <c r="H62">
        <f t="shared" si="1"/>
        <v>5.5052030882846596E-2</v>
      </c>
    </row>
    <row r="63" spans="1:8" x14ac:dyDescent="0.3">
      <c r="A63" t="s">
        <v>305</v>
      </c>
      <c r="B63">
        <v>8.2000000000000003E-2</v>
      </c>
      <c r="C63">
        <v>-84.37</v>
      </c>
      <c r="E63" t="s">
        <v>306</v>
      </c>
      <c r="G63">
        <f t="shared" si="4"/>
        <v>1.4895</v>
      </c>
      <c r="H63">
        <f t="shared" si="1"/>
        <v>5.5052030882846596E-2</v>
      </c>
    </row>
    <row r="64" spans="1:8" x14ac:dyDescent="0.3">
      <c r="A64" t="s">
        <v>305</v>
      </c>
      <c r="B64">
        <v>8.2000000000000003E-2</v>
      </c>
      <c r="C64">
        <v>-85.82</v>
      </c>
      <c r="E64" t="s">
        <v>306</v>
      </c>
      <c r="G64">
        <f t="shared" si="4"/>
        <v>1.4895</v>
      </c>
      <c r="H64">
        <f t="shared" si="1"/>
        <v>5.5052030882846596E-2</v>
      </c>
    </row>
    <row r="65" spans="1:8" x14ac:dyDescent="0.3">
      <c r="A65" t="s">
        <v>223</v>
      </c>
      <c r="B65">
        <v>1200</v>
      </c>
      <c r="C65">
        <v>-68.55</v>
      </c>
      <c r="E65" t="s">
        <v>307</v>
      </c>
      <c r="G65">
        <v>2406.9299999999998</v>
      </c>
      <c r="H65">
        <f t="shared" si="1"/>
        <v>0.49856040682529201</v>
      </c>
    </row>
    <row r="66" spans="1:8" x14ac:dyDescent="0.3">
      <c r="A66" t="s">
        <v>223</v>
      </c>
      <c r="B66">
        <v>4.7999999999999996E-3</v>
      </c>
      <c r="C66">
        <v>-1.72</v>
      </c>
      <c r="E66" t="s">
        <v>308</v>
      </c>
      <c r="H66">
        <v>0.95</v>
      </c>
    </row>
    <row r="67" spans="1:8" x14ac:dyDescent="0.3">
      <c r="A67" t="s">
        <v>223</v>
      </c>
      <c r="B67">
        <v>4.7999999999999996E-3</v>
      </c>
      <c r="C67">
        <v>-3.38</v>
      </c>
      <c r="E67" t="s">
        <v>308</v>
      </c>
      <c r="H67">
        <v>0.95</v>
      </c>
    </row>
    <row r="68" spans="1:8" x14ac:dyDescent="0.3">
      <c r="A68" t="s">
        <v>223</v>
      </c>
      <c r="B68">
        <v>4.7999999999999996E-3</v>
      </c>
      <c r="C68">
        <v>-1.79</v>
      </c>
      <c r="E68" t="s">
        <v>308</v>
      </c>
      <c r="H68">
        <v>0.95</v>
      </c>
    </row>
    <row r="69" spans="1:8" x14ac:dyDescent="0.3">
      <c r="A69" t="s">
        <v>140</v>
      </c>
      <c r="B69">
        <v>0.154</v>
      </c>
      <c r="C69">
        <v>-8.09</v>
      </c>
      <c r="E69" t="s">
        <v>309</v>
      </c>
      <c r="G69">
        <f>0.1*3.7</f>
        <v>0.37000000000000005</v>
      </c>
      <c r="H69">
        <f>B69/G69</f>
        <v>0.41621621621621613</v>
      </c>
    </row>
    <row r="70" spans="1:8" x14ac:dyDescent="0.3">
      <c r="A70" t="s">
        <v>140</v>
      </c>
      <c r="B70">
        <v>0.86899999999999999</v>
      </c>
      <c r="C70">
        <v>-52.2</v>
      </c>
      <c r="E70" t="s">
        <v>309</v>
      </c>
      <c r="G70">
        <f>0.1*3.7</f>
        <v>0.37000000000000005</v>
      </c>
      <c r="H70">
        <f>B70/G70</f>
        <v>2.3486486486486484</v>
      </c>
    </row>
    <row r="71" spans="1:8" x14ac:dyDescent="0.3">
      <c r="A71" t="s">
        <v>140</v>
      </c>
      <c r="B71">
        <v>0.19500000000000001</v>
      </c>
      <c r="C71">
        <v>13.2</v>
      </c>
      <c r="E71" t="s">
        <v>309</v>
      </c>
      <c r="G71">
        <v>0.35</v>
      </c>
      <c r="H71">
        <f t="shared" ref="H71:H73" si="5">B71/G71</f>
        <v>0.55714285714285716</v>
      </c>
    </row>
    <row r="72" spans="1:8" x14ac:dyDescent="0.3">
      <c r="A72" t="s">
        <v>140</v>
      </c>
      <c r="B72">
        <v>0.995</v>
      </c>
      <c r="C72">
        <v>-30.3</v>
      </c>
      <c r="E72" t="s">
        <v>309</v>
      </c>
      <c r="G72">
        <v>0.35</v>
      </c>
      <c r="H72">
        <f t="shared" si="5"/>
        <v>2.842857142857143</v>
      </c>
    </row>
    <row r="73" spans="1:8" x14ac:dyDescent="0.3">
      <c r="A73" t="s">
        <v>310</v>
      </c>
      <c r="B73">
        <v>2.9000000000000001E-2</v>
      </c>
      <c r="C73">
        <v>-100</v>
      </c>
      <c r="E73" t="s">
        <v>142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5092E-A2A6-40AC-8BF6-BDD754DDC55D}">
  <dimension ref="A1:G12"/>
  <sheetViews>
    <sheetView workbookViewId="0">
      <selection activeCell="A12" sqref="A12"/>
    </sheetView>
  </sheetViews>
  <sheetFormatPr defaultRowHeight="14.4" x14ac:dyDescent="0.3"/>
  <sheetData>
    <row r="1" spans="1:7" x14ac:dyDescent="0.3">
      <c r="A1" t="s">
        <v>79</v>
      </c>
      <c r="B1" t="s">
        <v>111</v>
      </c>
      <c r="C1" t="s">
        <v>108</v>
      </c>
      <c r="D1" t="s">
        <v>9</v>
      </c>
      <c r="E1" t="s">
        <v>314</v>
      </c>
      <c r="F1" t="s">
        <v>324</v>
      </c>
    </row>
    <row r="2" spans="1:7" x14ac:dyDescent="0.3">
      <c r="A2" t="s">
        <v>173</v>
      </c>
      <c r="B2">
        <v>25</v>
      </c>
      <c r="C2">
        <f>1-(7.3/843)</f>
        <v>0.9913404507710557</v>
      </c>
      <c r="D2" t="s">
        <v>321</v>
      </c>
      <c r="E2">
        <v>15</v>
      </c>
      <c r="F2">
        <f t="shared" ref="F2:F12" si="0">B2/E2</f>
        <v>1.6666666666666667</v>
      </c>
      <c r="G2" t="s">
        <v>322</v>
      </c>
    </row>
    <row r="3" spans="1:7" x14ac:dyDescent="0.3">
      <c r="A3" t="s">
        <v>173</v>
      </c>
      <c r="B3">
        <v>25</v>
      </c>
      <c r="C3">
        <f>1-(47.7/326.3)</f>
        <v>0.85381550720196142</v>
      </c>
      <c r="D3" t="s">
        <v>321</v>
      </c>
      <c r="E3">
        <v>15</v>
      </c>
      <c r="F3">
        <f t="shared" si="0"/>
        <v>1.6666666666666667</v>
      </c>
      <c r="G3" t="s">
        <v>322</v>
      </c>
    </row>
    <row r="4" spans="1:7" x14ac:dyDescent="0.3">
      <c r="A4" t="s">
        <v>173</v>
      </c>
      <c r="B4">
        <v>15.5</v>
      </c>
      <c r="C4">
        <f>1-(223/772)</f>
        <v>0.71113989637305697</v>
      </c>
      <c r="D4" t="s">
        <v>323</v>
      </c>
      <c r="E4">
        <v>15</v>
      </c>
      <c r="F4">
        <f t="shared" si="0"/>
        <v>1.0333333333333334</v>
      </c>
      <c r="G4" t="s">
        <v>322</v>
      </c>
    </row>
    <row r="5" spans="1:7" x14ac:dyDescent="0.3">
      <c r="A5" t="s">
        <v>173</v>
      </c>
      <c r="B5">
        <v>43</v>
      </c>
      <c r="C5">
        <f>1-(52.5/278)</f>
        <v>0.81115107913669071</v>
      </c>
      <c r="D5" t="s">
        <v>323</v>
      </c>
      <c r="E5">
        <v>15</v>
      </c>
      <c r="F5">
        <f t="shared" si="0"/>
        <v>2.8666666666666667</v>
      </c>
      <c r="G5" t="s">
        <v>322</v>
      </c>
    </row>
    <row r="6" spans="1:7" x14ac:dyDescent="0.3">
      <c r="A6" t="s">
        <v>173</v>
      </c>
      <c r="B6">
        <v>11.8</v>
      </c>
      <c r="C6">
        <f>1-(144/748)</f>
        <v>0.80748663101604279</v>
      </c>
      <c r="D6" t="s">
        <v>323</v>
      </c>
      <c r="E6">
        <v>15</v>
      </c>
      <c r="F6">
        <f t="shared" si="0"/>
        <v>0.78666666666666674</v>
      </c>
      <c r="G6" t="s">
        <v>322</v>
      </c>
    </row>
    <row r="7" spans="1:7" x14ac:dyDescent="0.3">
      <c r="A7" t="s">
        <v>173</v>
      </c>
      <c r="B7">
        <v>28.2</v>
      </c>
      <c r="C7">
        <f>1-(262/656)</f>
        <v>0.60060975609756095</v>
      </c>
      <c r="D7" t="s">
        <v>323</v>
      </c>
      <c r="E7">
        <v>15</v>
      </c>
      <c r="F7">
        <f t="shared" si="0"/>
        <v>1.88</v>
      </c>
      <c r="G7" t="s">
        <v>322</v>
      </c>
    </row>
    <row r="8" spans="1:7" x14ac:dyDescent="0.3">
      <c r="A8" t="s">
        <v>173</v>
      </c>
      <c r="B8">
        <v>10.6</v>
      </c>
      <c r="C8">
        <f>1-(1150/1920)</f>
        <v>0.40104166666666663</v>
      </c>
      <c r="D8" t="s">
        <v>323</v>
      </c>
      <c r="E8">
        <v>15</v>
      </c>
      <c r="F8">
        <f t="shared" si="0"/>
        <v>0.70666666666666667</v>
      </c>
      <c r="G8" t="s">
        <v>322</v>
      </c>
    </row>
    <row r="9" spans="1:7" x14ac:dyDescent="0.3">
      <c r="A9" t="s">
        <v>173</v>
      </c>
      <c r="B9">
        <v>30.1</v>
      </c>
      <c r="C9">
        <f>1-(486/1120)</f>
        <v>0.56607142857142856</v>
      </c>
      <c r="D9" t="s">
        <v>323</v>
      </c>
      <c r="E9">
        <v>15</v>
      </c>
      <c r="F9">
        <f t="shared" si="0"/>
        <v>2.0066666666666668</v>
      </c>
      <c r="G9" t="s">
        <v>322</v>
      </c>
    </row>
    <row r="10" spans="1:7" x14ac:dyDescent="0.3">
      <c r="A10" t="s">
        <v>173</v>
      </c>
      <c r="B10">
        <v>11.6</v>
      </c>
      <c r="C10">
        <f>1-(1010/3190)</f>
        <v>0.68338557993730409</v>
      </c>
      <c r="D10" t="s">
        <v>323</v>
      </c>
      <c r="E10">
        <v>15</v>
      </c>
      <c r="F10">
        <f t="shared" si="0"/>
        <v>0.77333333333333332</v>
      </c>
      <c r="G10" t="s">
        <v>322</v>
      </c>
    </row>
    <row r="11" spans="1:7" x14ac:dyDescent="0.3">
      <c r="A11" t="s">
        <v>173</v>
      </c>
      <c r="B11">
        <v>50.8</v>
      </c>
      <c r="C11">
        <f>1-(210/2640)</f>
        <v>0.92045454545454541</v>
      </c>
      <c r="D11" t="s">
        <v>323</v>
      </c>
      <c r="E11">
        <v>15</v>
      </c>
      <c r="F11">
        <f t="shared" si="0"/>
        <v>3.3866666666666663</v>
      </c>
      <c r="G11" t="s">
        <v>322</v>
      </c>
    </row>
    <row r="12" spans="1:7" x14ac:dyDescent="0.3">
      <c r="A12" t="s">
        <v>173</v>
      </c>
      <c r="B12">
        <v>13.3</v>
      </c>
      <c r="C12">
        <f>1-(525/1100)</f>
        <v>0.52272727272727271</v>
      </c>
      <c r="D12" t="s">
        <v>323</v>
      </c>
      <c r="E12">
        <v>15</v>
      </c>
      <c r="F12">
        <f t="shared" si="0"/>
        <v>0.88666666666666671</v>
      </c>
      <c r="G12" t="s">
        <v>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To Read</vt:lpstr>
      <vt:lpstr>Sheet1</vt:lpstr>
      <vt:lpstr>Length-Mass relationships</vt:lpstr>
      <vt:lpstr>Temperature Realtionship Baetid</vt:lpstr>
      <vt:lpstr>Recolonization Rates</vt:lpstr>
      <vt:lpstr>Sheet2</vt:lpstr>
      <vt:lpstr>Fecundity</vt:lpstr>
      <vt:lpstr>Mortality Rates</vt:lpstr>
      <vt:lpstr>Baetid Mortality Rates</vt:lpstr>
      <vt:lpstr>NZMS Mortality Rates</vt:lpstr>
      <vt:lpstr>Hydropsyche Mortality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Angelika Kurthen</dc:creator>
  <cp:lastModifiedBy>Angelika Kurthen</cp:lastModifiedBy>
  <dcterms:created xsi:type="dcterms:W3CDTF">2021-10-14T21:52:07Z</dcterms:created>
  <dcterms:modified xsi:type="dcterms:W3CDTF">2022-12-22T20:27:57Z</dcterms:modified>
</cp:coreProperties>
</file>