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60" windowWidth="22932" windowHeight="9504" activeTab="1"/>
  </bookViews>
  <sheets>
    <sheet name="Выборочные характеристики" sheetId="1" r:id="rId1"/>
    <sheet name="Зависимость" sheetId="2" r:id="rId2"/>
  </sheets>
  <calcPr calcId="125725"/>
</workbook>
</file>

<file path=xl/calcChain.xml><?xml version="1.0" encoding="utf-8"?>
<calcChain xmlns="http://schemas.openxmlformats.org/spreadsheetml/2006/main">
  <c r="H10" i="2"/>
  <c r="B10"/>
  <c r="I5"/>
  <c r="F5"/>
  <c r="C5"/>
  <c r="I4"/>
  <c r="F4"/>
  <c r="C4"/>
  <c r="X7" i="1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6"/>
  <c r="AB5"/>
  <c r="AB6"/>
  <c r="AA11"/>
  <c r="T6"/>
  <c r="AA24"/>
  <c r="AC13"/>
  <c r="AC26"/>
  <c r="AB26"/>
  <c r="AA26"/>
  <c r="AA13"/>
  <c r="AB13"/>
  <c r="G43"/>
  <c r="F43"/>
  <c r="E43"/>
  <c r="AA8"/>
  <c r="U6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AB11" s="1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AC11"/>
  <c r="AB25"/>
  <c r="AC25"/>
  <c r="AA25"/>
  <c r="AC10"/>
  <c r="AB10"/>
  <c r="AB9"/>
  <c r="AC9"/>
  <c r="AA10"/>
  <c r="AB23"/>
  <c r="AC23"/>
  <c r="AA23"/>
  <c r="AB24"/>
  <c r="AC24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N6"/>
  <c r="AC22"/>
  <c r="AB22"/>
  <c r="AA22"/>
  <c r="AC21"/>
  <c r="AB21"/>
  <c r="AA21"/>
  <c r="AC20"/>
  <c r="AB20"/>
  <c r="AA20"/>
  <c r="AC19"/>
  <c r="AA19"/>
  <c r="AB1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AC7" s="1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AB7" s="1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AA7" s="1"/>
  <c r="AC18"/>
  <c r="AC5"/>
  <c r="AA18"/>
  <c r="AB18"/>
  <c r="AA5"/>
  <c r="J28"/>
  <c r="J27"/>
  <c r="J26"/>
  <c r="J25"/>
  <c r="J19"/>
  <c r="J20"/>
  <c r="J21"/>
  <c r="J22"/>
  <c r="J23"/>
  <c r="J24"/>
  <c r="J18"/>
  <c r="J17"/>
  <c r="J16"/>
  <c r="J15"/>
  <c r="J14"/>
  <c r="J13"/>
  <c r="J12"/>
  <c r="J11"/>
  <c r="J10"/>
  <c r="J9"/>
  <c r="J8"/>
  <c r="J7"/>
  <c r="J6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B9" i="2" l="1"/>
  <c r="D12" s="1"/>
  <c r="B12" s="1"/>
  <c r="AC6" i="1"/>
  <c r="AC8" s="1"/>
  <c r="AB8"/>
  <c r="AA6"/>
  <c r="H43"/>
  <c r="I43"/>
  <c r="J43"/>
  <c r="D9" i="2" l="1"/>
  <c r="F9" s="1"/>
  <c r="D11"/>
  <c r="B11" s="1"/>
  <c r="AA9" i="1"/>
</calcChain>
</file>

<file path=xl/sharedStrings.xml><?xml version="1.0" encoding="utf-8"?>
<sst xmlns="http://schemas.openxmlformats.org/spreadsheetml/2006/main" count="84" uniqueCount="72">
  <si>
    <t>Год</t>
  </si>
  <si>
    <t>Месяц 1, 
X</t>
  </si>
  <si>
    <t>Месяц 2</t>
  </si>
  <si>
    <t>Месяц 3</t>
  </si>
  <si>
    <t>Абсол.частота</t>
  </si>
  <si>
    <t>ДВР 1</t>
  </si>
  <si>
    <t>ДВР 2</t>
  </si>
  <si>
    <t>ДВР 3</t>
  </si>
  <si>
    <t>Итог</t>
  </si>
  <si>
    <t>Абсол. накопл. частота</t>
  </si>
  <si>
    <t>Среднее арифметическое</t>
  </si>
  <si>
    <t>Выборочная дисперсия</t>
  </si>
  <si>
    <t>Выборочная исправленная дисперсия</t>
  </si>
  <si>
    <t>Стандартное отклонение</t>
  </si>
  <si>
    <t>Коэффициент вариации</t>
  </si>
  <si>
    <t>Коэффициент асимметрии</t>
  </si>
  <si>
    <t>Коэффициент эксцесса</t>
  </si>
  <si>
    <t>Мода (моды)</t>
  </si>
  <si>
    <t>Медиана</t>
  </si>
  <si>
    <t>Результаты средств анализа данных пакета MS Excel</t>
  </si>
  <si>
    <t>Вывод</t>
  </si>
  <si>
    <t>В первом ряду две соседние варианты имют частоту 4,
 поэтому в качестве моды берем их среднее арифметическое</t>
  </si>
  <si>
    <t>Коэффициент всех рядов &lt;0.33,  поэтому ряды имеют 
высокую концентрацию относительно среднего</t>
  </si>
  <si>
    <t>Распределения первого и третьего рядов островершинные,
а второго низковершинное. Распределения всех рядов приближаются к нормальному.</t>
  </si>
  <si>
    <t>Распределения первого и второго рядов скошены влево,
а второго вправо. Ассиметрия первого ряда большая, а второго  и третьего умеренная.</t>
  </si>
  <si>
    <t>Выборочные характеритики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</si>
  <si>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</si>
  <si>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y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</si>
  <si>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xy</t>
    </r>
  </si>
  <si>
    <t>СТАНДОТКЛОНП для X</t>
  </si>
  <si>
    <t>СТАНДОТКЛОНП для Y</t>
  </si>
  <si>
    <t>КОВАР</t>
  </si>
  <si>
    <t>Уравнение модели</t>
  </si>
  <si>
    <t>Параметры линейной
 регрессии</t>
  </si>
  <si>
    <t>Оценка значимости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</si>
  <si>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xy</t>
    </r>
  </si>
  <si>
    <t>ПИРСОН</t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</si>
  <si>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r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</si>
  <si>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</si>
  <si>
    <t>tкр(k;α)</t>
  </si>
  <si>
    <t>СТЬЮДРАСПОБР</t>
  </si>
  <si>
    <t>α</t>
  </si>
  <si>
    <t>β</t>
  </si>
  <si>
    <t>γ</t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</si>
  <si>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γ</t>
    </r>
  </si>
  <si>
    <t>Длина ДИ равна
0,0638</t>
  </si>
  <si>
    <t>Уровень значимости 0,02</t>
  </si>
  <si>
    <t>не значимый; очень слабая
прямая зависимость</t>
  </si>
  <si>
    <t>Задание 3. Измерение взаимной зависимости</t>
  </si>
  <si>
    <t>Задание 2. Основные выборочные характеристики</t>
  </si>
  <si>
    <r>
      <t>Месяц 2,
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</si>
  <si>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Месяц 3,
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</si>
  <si>
    <t>Основные статистические параметры температуры поверхности океана в апреле, мае, июне  (1957-1993гг.) в точке 7 (55o с.ш 30о з.д.)</t>
  </si>
  <si>
    <r>
      <t>Месяц 1, 
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</si>
  <si>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Месяц 2, 
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</si>
  <si>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</si>
  <si>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</si>
  <si>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</si>
  <si>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cр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</si>
  <si>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cр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</si>
  <si>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cр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</si>
  <si>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cр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4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</si>
  <si>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cр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4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</si>
  <si>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cр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4</t>
    </r>
  </si>
  <si>
    <r>
      <t>X-X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</si>
  <si>
    <r>
      <t>Y-X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</si>
  <si>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</si>
  <si>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</si>
  <si>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</si>
  <si>
    <r>
      <t>m</t>
    </r>
    <r>
      <rPr>
        <b/>
        <vertAlign val="superscript"/>
        <sz val="11"/>
        <color theme="1"/>
        <rFont val="Calibri"/>
        <family val="2"/>
        <charset val="204"/>
        <scheme val="minor"/>
      </rPr>
      <t>c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</si>
  <si>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m</t>
    </r>
    <r>
      <rPr>
        <b/>
        <vertAlign val="superscript"/>
        <sz val="11"/>
        <color theme="1"/>
        <rFont val="Calibri"/>
        <family val="2"/>
        <charset val="204"/>
        <scheme val="minor"/>
      </rPr>
      <t>c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</si>
  <si>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m</t>
    </r>
    <r>
      <rPr>
        <b/>
        <vertAlign val="superscript"/>
        <sz val="11"/>
        <color theme="1"/>
        <rFont val="Calibri"/>
        <family val="2"/>
        <charset val="204"/>
        <scheme val="minor"/>
      </rPr>
      <t>c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</si>
</sst>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textRotation="90" wrapText="1"/>
    </xf>
    <xf numFmtId="0" fontId="2" fillId="0" borderId="0" xfId="0" applyFont="1"/>
    <xf numFmtId="0" fontId="0" fillId="0" borderId="0" xfId="0" applyAlignment="1"/>
    <xf numFmtId="2" fontId="0" fillId="0" borderId="0" xfId="0" applyNumberFormat="1"/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vertical="center" textRotation="90" wrapText="1"/>
    </xf>
    <xf numFmtId="0" fontId="2" fillId="0" borderId="1" xfId="0" applyFont="1" applyBorder="1" applyAlignment="1">
      <alignment textRotation="90" wrapText="1"/>
    </xf>
    <xf numFmtId="0" fontId="4" fillId="0" borderId="0" xfId="0" applyFo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>
        <c:manualLayout>
          <c:xMode val="edge"/>
          <c:yMode val="edge"/>
          <c:x val="0.2102847769028871"/>
          <c:y val="4.1666666666666664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'Выборочные характеристики'!$D$4</c:f>
              <c:strCache>
                <c:ptCount val="1"/>
                <c:pt idx="0">
                  <c:v>Месяц 3</c:v>
                </c:pt>
              </c:strCache>
            </c:strRef>
          </c:tx>
          <c:spPr>
            <a:ln w="28575">
              <a:noFill/>
            </a:ln>
          </c:spPr>
          <c:xVal>
            <c:numRef>
              <c:f>'Выборочные характеристики'!$C$5:$C$42</c:f>
              <c:numCache>
                <c:formatCode>0.00</c:formatCode>
                <c:ptCount val="38"/>
                <c:pt idx="1">
                  <c:v>3.8</c:v>
                </c:pt>
                <c:pt idx="2">
                  <c:v>3.2</c:v>
                </c:pt>
                <c:pt idx="3">
                  <c:v>3.2</c:v>
                </c:pt>
                <c:pt idx="4">
                  <c:v>3.5</c:v>
                </c:pt>
                <c:pt idx="5">
                  <c:v>3.4</c:v>
                </c:pt>
                <c:pt idx="6">
                  <c:v>5.5</c:v>
                </c:pt>
                <c:pt idx="7">
                  <c:v>2.7</c:v>
                </c:pt>
                <c:pt idx="8">
                  <c:v>3.2</c:v>
                </c:pt>
                <c:pt idx="9">
                  <c:v>4</c:v>
                </c:pt>
                <c:pt idx="10">
                  <c:v>4.5</c:v>
                </c:pt>
                <c:pt idx="11">
                  <c:v>3.2</c:v>
                </c:pt>
                <c:pt idx="12">
                  <c:v>3</c:v>
                </c:pt>
                <c:pt idx="13">
                  <c:v>3.3</c:v>
                </c:pt>
                <c:pt idx="14">
                  <c:v>3.1</c:v>
                </c:pt>
                <c:pt idx="15">
                  <c:v>3.2</c:v>
                </c:pt>
                <c:pt idx="16">
                  <c:v>2.4</c:v>
                </c:pt>
                <c:pt idx="17">
                  <c:v>3.5</c:v>
                </c:pt>
                <c:pt idx="18">
                  <c:v>3.4</c:v>
                </c:pt>
                <c:pt idx="19">
                  <c:v>5.6</c:v>
                </c:pt>
                <c:pt idx="20">
                  <c:v>2.5</c:v>
                </c:pt>
                <c:pt idx="21">
                  <c:v>4</c:v>
                </c:pt>
                <c:pt idx="22">
                  <c:v>2.6</c:v>
                </c:pt>
                <c:pt idx="23">
                  <c:v>2.2999999999999998</c:v>
                </c:pt>
                <c:pt idx="24">
                  <c:v>1.5</c:v>
                </c:pt>
                <c:pt idx="25">
                  <c:v>5.0999999999999996</c:v>
                </c:pt>
                <c:pt idx="26">
                  <c:v>3.9</c:v>
                </c:pt>
                <c:pt idx="27">
                  <c:v>4.5</c:v>
                </c:pt>
                <c:pt idx="28">
                  <c:v>4.5</c:v>
                </c:pt>
                <c:pt idx="29">
                  <c:v>2.9</c:v>
                </c:pt>
                <c:pt idx="30">
                  <c:v>4.0999999999999996</c:v>
                </c:pt>
                <c:pt idx="31">
                  <c:v>2.8</c:v>
                </c:pt>
                <c:pt idx="32">
                  <c:v>3.2</c:v>
                </c:pt>
                <c:pt idx="33">
                  <c:v>2.9</c:v>
                </c:pt>
                <c:pt idx="34">
                  <c:v>5.0999999999999996</c:v>
                </c:pt>
                <c:pt idx="35">
                  <c:v>4.5999999999999996</c:v>
                </c:pt>
                <c:pt idx="36">
                  <c:v>2.5</c:v>
                </c:pt>
                <c:pt idx="37">
                  <c:v>3.5</c:v>
                </c:pt>
              </c:numCache>
            </c:numRef>
          </c:xVal>
          <c:yVal>
            <c:numRef>
              <c:f>'Выборочные характеристики'!$D$5:$D$42</c:f>
              <c:numCache>
                <c:formatCode>0.00</c:formatCode>
                <c:ptCount val="38"/>
                <c:pt idx="1">
                  <c:v>6.7</c:v>
                </c:pt>
                <c:pt idx="2">
                  <c:v>5.9</c:v>
                </c:pt>
                <c:pt idx="3">
                  <c:v>5.2</c:v>
                </c:pt>
                <c:pt idx="4">
                  <c:v>4.8</c:v>
                </c:pt>
                <c:pt idx="5">
                  <c:v>4.4000000000000004</c:v>
                </c:pt>
                <c:pt idx="6">
                  <c:v>4.8</c:v>
                </c:pt>
                <c:pt idx="7">
                  <c:v>5.4</c:v>
                </c:pt>
                <c:pt idx="8">
                  <c:v>5.6</c:v>
                </c:pt>
                <c:pt idx="9">
                  <c:v>5.4</c:v>
                </c:pt>
                <c:pt idx="10">
                  <c:v>5.5</c:v>
                </c:pt>
                <c:pt idx="11">
                  <c:v>5.5</c:v>
                </c:pt>
                <c:pt idx="12">
                  <c:v>4.3</c:v>
                </c:pt>
                <c:pt idx="13">
                  <c:v>4.9000000000000004</c:v>
                </c:pt>
                <c:pt idx="14">
                  <c:v>4.5</c:v>
                </c:pt>
                <c:pt idx="15">
                  <c:v>5.3</c:v>
                </c:pt>
                <c:pt idx="16">
                  <c:v>3.9</c:v>
                </c:pt>
                <c:pt idx="17">
                  <c:v>5.5</c:v>
                </c:pt>
                <c:pt idx="18">
                  <c:v>4.8</c:v>
                </c:pt>
                <c:pt idx="19">
                  <c:v>4.8</c:v>
                </c:pt>
                <c:pt idx="20">
                  <c:v>3.5</c:v>
                </c:pt>
                <c:pt idx="21">
                  <c:v>4.5999999999999996</c:v>
                </c:pt>
                <c:pt idx="22">
                  <c:v>3.1</c:v>
                </c:pt>
                <c:pt idx="23">
                  <c:v>6.2</c:v>
                </c:pt>
                <c:pt idx="24">
                  <c:v>5.3</c:v>
                </c:pt>
                <c:pt idx="25">
                  <c:v>5.7</c:v>
                </c:pt>
                <c:pt idx="26">
                  <c:v>5.8</c:v>
                </c:pt>
                <c:pt idx="27">
                  <c:v>4.5999999999999996</c:v>
                </c:pt>
                <c:pt idx="28">
                  <c:v>4.9000000000000004</c:v>
                </c:pt>
                <c:pt idx="29">
                  <c:v>3.6</c:v>
                </c:pt>
                <c:pt idx="30">
                  <c:v>5.4</c:v>
                </c:pt>
                <c:pt idx="31">
                  <c:v>5.4</c:v>
                </c:pt>
                <c:pt idx="32">
                  <c:v>5.0999999999999996</c:v>
                </c:pt>
                <c:pt idx="33">
                  <c:v>4.7</c:v>
                </c:pt>
                <c:pt idx="34">
                  <c:v>3.8</c:v>
                </c:pt>
                <c:pt idx="35">
                  <c:v>4.8</c:v>
                </c:pt>
                <c:pt idx="36">
                  <c:v>4.5999999999999996</c:v>
                </c:pt>
                <c:pt idx="37">
                  <c:v>5.9</c:v>
                </c:pt>
              </c:numCache>
            </c:numRef>
          </c:yVal>
        </c:ser>
        <c:axId val="144343808"/>
        <c:axId val="144346112"/>
      </c:scatterChart>
      <c:valAx>
        <c:axId val="14434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Месяц</a:t>
                </a:r>
                <a:r>
                  <a:rPr lang="ru-RU" baseline="0"/>
                  <a:t> 2, </a:t>
                </a:r>
                <a:r>
                  <a:rPr lang="en-US" baseline="0"/>
                  <a:t>X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44346112"/>
        <c:crosses val="autoZero"/>
        <c:crossBetween val="midCat"/>
      </c:valAx>
      <c:valAx>
        <c:axId val="14434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МЕсяц 3, </a:t>
                </a:r>
                <a:r>
                  <a:rPr lang="en-US"/>
                  <a:t>Y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4434380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10</xdr:row>
      <xdr:rowOff>0</xdr:rowOff>
    </xdr:from>
    <xdr:to>
      <xdr:col>0</xdr:col>
      <xdr:colOff>342900</xdr:colOff>
      <xdr:row>11</xdr:row>
      <xdr:rowOff>4354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3068300"/>
          <a:ext cx="152400" cy="18723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220980</xdr:colOff>
      <xdr:row>10</xdr:row>
      <xdr:rowOff>160019</xdr:rowOff>
    </xdr:from>
    <xdr:to>
      <xdr:col>0</xdr:col>
      <xdr:colOff>350519</xdr:colOff>
      <xdr:row>11</xdr:row>
      <xdr:rowOff>171448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0980" y="13228319"/>
          <a:ext cx="129539" cy="19430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16</xdr:col>
      <xdr:colOff>510540</xdr:colOff>
      <xdr:row>19</xdr:row>
      <xdr:rowOff>167640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4"/>
  <sheetViews>
    <sheetView zoomScale="85" zoomScaleNormal="85" workbookViewId="0">
      <selection activeCell="A43" sqref="A43"/>
    </sheetView>
  </sheetViews>
  <sheetFormatPr defaultRowHeight="14.4"/>
  <cols>
    <col min="2" max="2" width="12.6640625" customWidth="1"/>
    <col min="5" max="5" width="13.109375" customWidth="1"/>
    <col min="20" max="20" width="12" bestFit="1" customWidth="1"/>
    <col min="23" max="23" width="9.44140625" customWidth="1"/>
    <col min="26" max="26" width="33.77734375" customWidth="1"/>
    <col min="29" max="29" width="11.21875" customWidth="1"/>
    <col min="30" max="30" width="50.77734375" customWidth="1"/>
  </cols>
  <sheetData>
    <row r="1" spans="1:30">
      <c r="E1" s="1"/>
      <c r="G1" s="1"/>
      <c r="H1" s="1"/>
      <c r="I1" s="1"/>
    </row>
    <row r="2" spans="1:30">
      <c r="A2" s="5" t="s">
        <v>49</v>
      </c>
      <c r="E2" s="1"/>
      <c r="G2" s="1"/>
      <c r="H2" s="1"/>
      <c r="I2" s="1"/>
    </row>
    <row r="3" spans="1:30">
      <c r="E3" s="1"/>
      <c r="G3" s="1"/>
      <c r="H3" s="1"/>
      <c r="I3" s="1"/>
      <c r="Z3" s="19" t="s">
        <v>52</v>
      </c>
      <c r="AD3" s="19"/>
    </row>
    <row r="4" spans="1:30" ht="46.8" customHeight="1">
      <c r="A4" s="23" t="s">
        <v>0</v>
      </c>
      <c r="B4" s="24" t="s">
        <v>1</v>
      </c>
      <c r="C4" s="23" t="s">
        <v>2</v>
      </c>
      <c r="D4" s="23" t="s">
        <v>3</v>
      </c>
      <c r="E4" s="23" t="s">
        <v>5</v>
      </c>
      <c r="F4" s="23" t="s">
        <v>6</v>
      </c>
      <c r="G4" s="23" t="s">
        <v>7</v>
      </c>
      <c r="H4" s="23" t="s">
        <v>4</v>
      </c>
      <c r="I4" s="23"/>
      <c r="J4" s="23"/>
      <c r="K4" s="23" t="s">
        <v>9</v>
      </c>
      <c r="L4" s="23"/>
      <c r="M4" s="23"/>
      <c r="N4" s="25" t="s">
        <v>55</v>
      </c>
      <c r="O4" s="25" t="s">
        <v>56</v>
      </c>
      <c r="P4" s="25" t="s">
        <v>57</v>
      </c>
      <c r="Q4" s="25" t="s">
        <v>58</v>
      </c>
      <c r="R4" s="25" t="s">
        <v>59</v>
      </c>
      <c r="S4" s="25" t="s">
        <v>60</v>
      </c>
      <c r="T4" s="25" t="s">
        <v>61</v>
      </c>
      <c r="U4" s="25" t="s">
        <v>62</v>
      </c>
      <c r="V4" s="25" t="s">
        <v>63</v>
      </c>
      <c r="W4" s="25" t="s">
        <v>64</v>
      </c>
      <c r="X4" s="25" t="s">
        <v>65</v>
      </c>
      <c r="Z4" s="14"/>
      <c r="AA4" s="17" t="s">
        <v>53</v>
      </c>
      <c r="AB4" s="18" t="s">
        <v>54</v>
      </c>
      <c r="AC4" s="18" t="s">
        <v>51</v>
      </c>
      <c r="AD4" s="22" t="s">
        <v>20</v>
      </c>
    </row>
    <row r="5" spans="1:30" ht="27" customHeight="1">
      <c r="A5" s="23"/>
      <c r="B5" s="24"/>
      <c r="C5" s="23"/>
      <c r="D5" s="23"/>
      <c r="E5" s="23"/>
      <c r="F5" s="23"/>
      <c r="G5" s="23"/>
      <c r="H5" s="16" t="s">
        <v>66</v>
      </c>
      <c r="I5" s="16" t="s">
        <v>67</v>
      </c>
      <c r="J5" s="16" t="s">
        <v>68</v>
      </c>
      <c r="K5" s="16" t="s">
        <v>69</v>
      </c>
      <c r="L5" s="16" t="s">
        <v>70</v>
      </c>
      <c r="M5" s="16" t="s">
        <v>71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Z5" s="16" t="s">
        <v>10</v>
      </c>
      <c r="AA5" s="14">
        <f>1/H43*SUMPRODUCT(H6:H29,E6:E29)</f>
        <v>2.6594594594594594</v>
      </c>
      <c r="AB5" s="20">
        <f>1/H43*SUMPRODUCT(F6:F28,I6:I28)</f>
        <v>3.5189189189189189</v>
      </c>
      <c r="AC5" s="20">
        <f>1/H43*SUMPRODUCT(G6:G28*J6:J28)</f>
        <v>4.9783783783783777</v>
      </c>
      <c r="AD5" s="14"/>
    </row>
    <row r="6" spans="1:30">
      <c r="A6" s="14">
        <v>1957</v>
      </c>
      <c r="B6" s="15">
        <v>3.7</v>
      </c>
      <c r="C6" s="15">
        <v>3.8</v>
      </c>
      <c r="D6" s="15">
        <v>6.7</v>
      </c>
      <c r="E6" s="15">
        <v>1.1000000000000001</v>
      </c>
      <c r="F6" s="15">
        <v>1.5</v>
      </c>
      <c r="G6" s="15">
        <v>3.1</v>
      </c>
      <c r="H6" s="14">
        <f>COUNTIF(B6:B42,E6)</f>
        <v>1</v>
      </c>
      <c r="I6" s="14">
        <f>COUNTIF(C6:C42,F6)</f>
        <v>1</v>
      </c>
      <c r="J6" s="14">
        <f>COUNTIF(D6:D42,G6)</f>
        <v>1</v>
      </c>
      <c r="K6" s="14">
        <f>H6</f>
        <v>1</v>
      </c>
      <c r="L6" s="14">
        <f>I6</f>
        <v>1</v>
      </c>
      <c r="M6" s="14">
        <f>J6</f>
        <v>1</v>
      </c>
      <c r="N6" s="14">
        <f>(E6-AA5)^2</f>
        <v>2.4319138056975889</v>
      </c>
      <c r="O6" s="14">
        <f>(F6-AB5)^2</f>
        <v>4.0760336011687368</v>
      </c>
      <c r="P6" s="14">
        <f>(G6-AC5)^2</f>
        <v>3.5283053323593836</v>
      </c>
      <c r="Q6" s="14">
        <f>(E6-AA5)^3</f>
        <v>-3.7924709888851584</v>
      </c>
      <c r="R6" s="14">
        <f>(F6-AB5)^3</f>
        <v>-8.2291813515487746</v>
      </c>
      <c r="S6" s="14">
        <f>(G6-AC5)^3</f>
        <v>-6.6274924486210018</v>
      </c>
      <c r="T6" s="14">
        <f>(E6-AA5)^4</f>
        <v>5.9142047583425299</v>
      </c>
      <c r="U6" s="14">
        <f>(F6-AB5)^4</f>
        <v>16.61404991785658</v>
      </c>
      <c r="V6" s="14">
        <f>(G6-AC5)^4</f>
        <v>12.448938518355661</v>
      </c>
      <c r="W6" s="15">
        <f>C6-$AB$5</f>
        <v>0.28108108108108087</v>
      </c>
      <c r="X6" s="15">
        <f>D6-$AC$5</f>
        <v>1.7216216216216225</v>
      </c>
      <c r="Z6" s="16" t="s">
        <v>11</v>
      </c>
      <c r="AA6" s="14">
        <f>1/J43*SUMPRODUCT(N6:N29,H6:H29)</f>
        <v>0.68943754565376192</v>
      </c>
      <c r="AB6" s="14">
        <f>1/J43*SUMPRODUCT(O6:O28,I6:I28)</f>
        <v>0.84207450693937169</v>
      </c>
      <c r="AC6" s="14">
        <f>1/J43*SUMPRODUCT(J6:J28,P6:P28)</f>
        <v>0.57845142439737052</v>
      </c>
      <c r="AD6" s="14"/>
    </row>
    <row r="7" spans="1:30">
      <c r="A7" s="14">
        <v>1958</v>
      </c>
      <c r="B7" s="15">
        <v>3.5</v>
      </c>
      <c r="C7" s="15">
        <v>3.2</v>
      </c>
      <c r="D7" s="15">
        <v>5.9</v>
      </c>
      <c r="E7" s="15">
        <v>1.3</v>
      </c>
      <c r="F7" s="15">
        <v>2.2999999999999998</v>
      </c>
      <c r="G7" s="15">
        <v>3.5</v>
      </c>
      <c r="H7" s="14">
        <f>COUNTIF(B6:B42,E7)</f>
        <v>1</v>
      </c>
      <c r="I7" s="14">
        <f>COUNTIF(C6:C42,F7)</f>
        <v>1</v>
      </c>
      <c r="J7" s="14">
        <f>COUNTIF(D6:D42,G7)</f>
        <v>1</v>
      </c>
      <c r="K7" s="14">
        <f>K6+H7</f>
        <v>2</v>
      </c>
      <c r="L7" s="14">
        <f>L6+I7</f>
        <v>2</v>
      </c>
      <c r="M7" s="14">
        <f>M6+J7</f>
        <v>2</v>
      </c>
      <c r="N7" s="14">
        <f>(E7-AA5)^2</f>
        <v>1.8481300219138053</v>
      </c>
      <c r="O7" s="14">
        <f>(F7-AB5)^2</f>
        <v>1.4857633308984666</v>
      </c>
      <c r="P7" s="14">
        <f>(G7-AC5)^2</f>
        <v>2.1856026296566817</v>
      </c>
      <c r="Q7" s="14">
        <f>(E7-AA5)^3</f>
        <v>-2.5124578406017406</v>
      </c>
      <c r="R7" s="14">
        <f>(F7-AB5)^3</f>
        <v>-1.8110250330681312</v>
      </c>
      <c r="S7" s="14">
        <f>(G7-AC5)^3</f>
        <v>-3.2311476714113629</v>
      </c>
      <c r="T7" s="14">
        <f>(E7-AA5)^4</f>
        <v>3.4155845778991223</v>
      </c>
      <c r="U7" s="14">
        <f>(F7-AB5)^4</f>
        <v>2.2074926754425062</v>
      </c>
      <c r="V7" s="14">
        <f>(G7-AC5)^4</f>
        <v>4.7768588547622022</v>
      </c>
      <c r="W7" s="15">
        <f t="shared" ref="W7:W42" si="0">C7-$AB$5</f>
        <v>-0.31891891891891877</v>
      </c>
      <c r="X7" s="15">
        <f t="shared" ref="X7:X42" si="1">D7-$AC$5</f>
        <v>0.92162162162162264</v>
      </c>
      <c r="Z7" s="16" t="s">
        <v>12</v>
      </c>
      <c r="AA7" s="14">
        <f>1/(J43-1)*SUMPRODUCT(N6:N29,H6:H29)</f>
        <v>0.70858858858858853</v>
      </c>
      <c r="AB7" s="14">
        <f>1/(J43-1)*SUMPRODUCT(O6:O28,I6:I28)</f>
        <v>0.86546546546546521</v>
      </c>
      <c r="AC7" s="14">
        <f>1/(J43-1)*SUMPRODUCT(J6:J28,P6:P28)</f>
        <v>0.59451951951951965</v>
      </c>
      <c r="AD7" s="14"/>
    </row>
    <row r="8" spans="1:30">
      <c r="A8" s="14">
        <v>1959</v>
      </c>
      <c r="B8" s="15">
        <v>2.4</v>
      </c>
      <c r="C8" s="15">
        <v>3.2</v>
      </c>
      <c r="D8" s="15">
        <v>5.2</v>
      </c>
      <c r="E8" s="15">
        <v>1.5</v>
      </c>
      <c r="F8" s="15">
        <v>2.4</v>
      </c>
      <c r="G8" s="15">
        <v>3.6</v>
      </c>
      <c r="H8" s="14">
        <f>COUNTIF(B6:B42,E8)</f>
        <v>1</v>
      </c>
      <c r="I8" s="14">
        <f>COUNTIF(C6:C42,F8)</f>
        <v>1</v>
      </c>
      <c r="J8" s="14">
        <f>COUNTIF(D6:D42,G8)</f>
        <v>1</v>
      </c>
      <c r="K8" s="14">
        <f t="shared" ref="K8:K26" si="2">K7+H8</f>
        <v>3</v>
      </c>
      <c r="L8" s="14">
        <f t="shared" ref="L8:L28" si="3">L7+I8</f>
        <v>3</v>
      </c>
      <c r="M8" s="14">
        <f t="shared" ref="M8:M28" si="4">M7+J8</f>
        <v>3</v>
      </c>
      <c r="N8" s="14">
        <f>(E8-AA5)^2</f>
        <v>1.3443462381300217</v>
      </c>
      <c r="O8" s="14">
        <f>(F8-AB5)^2</f>
        <v>1.2519795471146826</v>
      </c>
      <c r="P8" s="14">
        <f>(G8-AC5)^2</f>
        <v>1.899926953981006</v>
      </c>
      <c r="Q8" s="14">
        <f>(E8-AA5)^3</f>
        <v>-1.5587149625885928</v>
      </c>
      <c r="R8" s="14">
        <f>(F8-AB5)^3</f>
        <v>-1.4008636013661586</v>
      </c>
      <c r="S8" s="14">
        <f>(G8-AC5)^3</f>
        <v>-2.6188182338657096</v>
      </c>
      <c r="T8" s="14">
        <f>(E8-AA5)^4</f>
        <v>1.807266807974341</v>
      </c>
      <c r="U8" s="14">
        <f>(F8-AB5)^4</f>
        <v>1.5674527863934857</v>
      </c>
      <c r="V8" s="14">
        <f>(G8-AC5)^4</f>
        <v>3.6097224304635436</v>
      </c>
      <c r="W8" s="15">
        <f t="shared" si="0"/>
        <v>-0.31891891891891877</v>
      </c>
      <c r="X8" s="15">
        <f t="shared" si="1"/>
        <v>0.22162162162162247</v>
      </c>
      <c r="Z8" s="16" t="s">
        <v>13</v>
      </c>
      <c r="AA8" s="14">
        <f>SQRT(AA6)</f>
        <v>0.83032375953826709</v>
      </c>
      <c r="AB8" s="14">
        <f>SQRT(AB6)</f>
        <v>0.91764617742317856</v>
      </c>
      <c r="AC8" s="14">
        <f>SQRT(AC6)</f>
        <v>0.76055994135726768</v>
      </c>
      <c r="AD8" s="14"/>
    </row>
    <row r="9" spans="1:30" ht="28.8">
      <c r="A9" s="14">
        <v>1960</v>
      </c>
      <c r="B9" s="15">
        <v>2.6</v>
      </c>
      <c r="C9" s="15">
        <v>3.5</v>
      </c>
      <c r="D9" s="15">
        <v>4.8</v>
      </c>
      <c r="E9" s="15">
        <v>1.6</v>
      </c>
      <c r="F9" s="15">
        <v>2.5</v>
      </c>
      <c r="G9" s="15">
        <v>3.8</v>
      </c>
      <c r="H9" s="14">
        <f>COUNTIF(B6:B42,E9)</f>
        <v>1</v>
      </c>
      <c r="I9" s="14">
        <f>COUNTIF(C6:C42,F9)</f>
        <v>2</v>
      </c>
      <c r="J9" s="14">
        <f>COUNTIF(D6:D42,G9)</f>
        <v>1</v>
      </c>
      <c r="K9" s="14">
        <f t="shared" si="2"/>
        <v>4</v>
      </c>
      <c r="L9" s="14">
        <f t="shared" si="3"/>
        <v>5</v>
      </c>
      <c r="M9" s="14">
        <f t="shared" si="4"/>
        <v>4</v>
      </c>
      <c r="N9" s="14">
        <f>(E9-AA5)^2</f>
        <v>1.1224543462381298</v>
      </c>
      <c r="O9" s="14">
        <f>(F9-AB5)^2</f>
        <v>1.0381957633308985</v>
      </c>
      <c r="P9" s="14">
        <f>(G9-AC5)^2</f>
        <v>1.3885756026296556</v>
      </c>
      <c r="Q9" s="14">
        <f>(E9-AA5)^3</f>
        <v>-1.1891948749333698</v>
      </c>
      <c r="R9" s="14">
        <f>(F9-AB5)^3</f>
        <v>-1.0578373047993208</v>
      </c>
      <c r="S9" s="14">
        <f>(G9-AC5)^3</f>
        <v>-1.6362674668825123</v>
      </c>
      <c r="T9" s="14">
        <f>(E9-AA5)^4</f>
        <v>1.2599037593888673</v>
      </c>
      <c r="U9" s="14">
        <f>(F9-AB5)^4</f>
        <v>1.077850442998227</v>
      </c>
      <c r="V9" s="14">
        <f>(G9-AC5)^4</f>
        <v>1.9281422042183112</v>
      </c>
      <c r="W9" s="15">
        <f t="shared" si="0"/>
        <v>-1.8918918918918948E-2</v>
      </c>
      <c r="X9" s="15">
        <f t="shared" si="1"/>
        <v>-0.17837837837837789</v>
      </c>
      <c r="Z9" s="16" t="s">
        <v>14</v>
      </c>
      <c r="AA9" s="14">
        <f>AA8/AA5</f>
        <v>0.31221523478573054</v>
      </c>
      <c r="AB9" s="14">
        <f t="shared" ref="AB9:AC9" si="5">AB8/AB5</f>
        <v>0.26077502737832264</v>
      </c>
      <c r="AC9" s="14">
        <f t="shared" si="5"/>
        <v>0.15277262665699734</v>
      </c>
      <c r="AD9" s="21" t="s">
        <v>22</v>
      </c>
    </row>
    <row r="10" spans="1:30" ht="46.2" customHeight="1">
      <c r="A10" s="14">
        <v>1961</v>
      </c>
      <c r="B10" s="15">
        <v>2.6</v>
      </c>
      <c r="C10" s="15">
        <v>3.4</v>
      </c>
      <c r="D10" s="15">
        <v>4.4000000000000004</v>
      </c>
      <c r="E10" s="15">
        <v>1.9</v>
      </c>
      <c r="F10" s="15">
        <v>2.6</v>
      </c>
      <c r="G10" s="15">
        <v>3.9</v>
      </c>
      <c r="H10" s="14">
        <f>COUNTIF(B6:B42,E10)</f>
        <v>2</v>
      </c>
      <c r="I10" s="14">
        <f>COUNTIF(C6:C42,F10)</f>
        <v>1</v>
      </c>
      <c r="J10" s="14">
        <f>COUNTIF(D6:D42,G10)</f>
        <v>1</v>
      </c>
      <c r="K10" s="14">
        <f t="shared" si="2"/>
        <v>6</v>
      </c>
      <c r="L10" s="14">
        <f t="shared" si="3"/>
        <v>6</v>
      </c>
      <c r="M10" s="14">
        <f t="shared" si="4"/>
        <v>5</v>
      </c>
      <c r="N10" s="14">
        <f>(E10-AA5)^2</f>
        <v>0.57677867056245435</v>
      </c>
      <c r="O10" s="14">
        <f>(F10-AB5)^2</f>
        <v>0.84441197954711456</v>
      </c>
      <c r="P10" s="14">
        <f>(G10-AC5)^2</f>
        <v>1.1628999269539797</v>
      </c>
      <c r="Q10" s="14">
        <f>(E10-AA5)^3</f>
        <v>-0.43804001737310722</v>
      </c>
      <c r="R10" s="14">
        <f>(F10-AB5)^3</f>
        <v>-0.77594614336761869</v>
      </c>
      <c r="S10" s="14">
        <f>(G10-AC5)^3</f>
        <v>-1.2540461374449667</v>
      </c>
      <c r="T10" s="14">
        <f>(E10-AA5)^4</f>
        <v>0.33267363481579226</v>
      </c>
      <c r="U10" s="14">
        <f>(F10-AB5)^4</f>
        <v>0.71303159120267656</v>
      </c>
      <c r="V10" s="14">
        <f>(G10-AC5)^4</f>
        <v>1.3523362401095713</v>
      </c>
      <c r="W10" s="15">
        <f t="shared" si="0"/>
        <v>-0.11891891891891904</v>
      </c>
      <c r="X10" s="15">
        <f t="shared" si="1"/>
        <v>-0.57837837837837736</v>
      </c>
      <c r="Z10" s="16" t="s">
        <v>15</v>
      </c>
      <c r="AA10" s="14">
        <f>1/(J43*AA8^3)*SUMPRODUCT(Q6:Q29,H6:H29)</f>
        <v>0.66285868988336227</v>
      </c>
      <c r="AB10" s="14">
        <f>1/(J43*AB8^3)*SUMPRODUCT(R6:R28,I6:I28)</f>
        <v>0.45946097381686601</v>
      </c>
      <c r="AC10" s="14">
        <f>1/(J43*AC8^3)*SUMPRODUCT(S6:S28,J6:J28)</f>
        <v>-0.35196763122528191</v>
      </c>
      <c r="AD10" s="21" t="s">
        <v>24</v>
      </c>
    </row>
    <row r="11" spans="1:30" ht="57.6">
      <c r="A11" s="14">
        <v>1962</v>
      </c>
      <c r="B11" s="15">
        <v>3.6</v>
      </c>
      <c r="C11" s="15">
        <v>5.5</v>
      </c>
      <c r="D11" s="15">
        <v>4.8</v>
      </c>
      <c r="E11" s="15">
        <v>2</v>
      </c>
      <c r="F11" s="15">
        <v>2.7</v>
      </c>
      <c r="G11" s="15">
        <v>4.3</v>
      </c>
      <c r="H11" s="14">
        <f>COUNTIF(B6:B42,E11)</f>
        <v>1</v>
      </c>
      <c r="I11" s="14">
        <f>COUNTIF(C6:C42,F11)</f>
        <v>1</v>
      </c>
      <c r="J11" s="14">
        <f>COUNTIF(D6:D42,G11)</f>
        <v>1</v>
      </c>
      <c r="K11" s="14">
        <f t="shared" si="2"/>
        <v>7</v>
      </c>
      <c r="L11" s="14">
        <f t="shared" si="3"/>
        <v>7</v>
      </c>
      <c r="M11" s="14">
        <f t="shared" si="4"/>
        <v>6</v>
      </c>
      <c r="N11" s="14">
        <f>(E11-AA5)^2</f>
        <v>0.43488677867056236</v>
      </c>
      <c r="O11" s="14">
        <f>(F11-AB5)^2</f>
        <v>0.67062819576333066</v>
      </c>
      <c r="P11" s="14">
        <f>(G11-AC5)^2</f>
        <v>0.46019722425127763</v>
      </c>
      <c r="Q11" s="14">
        <f>(E11-AA5)^3</f>
        <v>-0.28679019998815458</v>
      </c>
      <c r="R11" s="14">
        <f>(F11-AB5)^3</f>
        <v>-0.54919011707105181</v>
      </c>
      <c r="S11" s="14">
        <f>(G11-AC5)^3</f>
        <v>-0.31218784672181243</v>
      </c>
      <c r="T11" s="14">
        <f>(E11-AA5)^4</f>
        <v>0.18912651026245869</v>
      </c>
      <c r="U11" s="14">
        <f>(F11-AB5)^4</f>
        <v>0.44974217695278013</v>
      </c>
      <c r="V11" s="14">
        <f>(G11-AC5)^4</f>
        <v>0.2117814852085807</v>
      </c>
      <c r="W11" s="15">
        <f t="shared" si="0"/>
        <v>1.9810810810810811</v>
      </c>
      <c r="X11" s="15">
        <f t="shared" si="1"/>
        <v>-0.17837837837837789</v>
      </c>
      <c r="Y11" s="1"/>
      <c r="Z11" s="16" t="s">
        <v>16</v>
      </c>
      <c r="AA11" s="14">
        <f>1/(J43*AA8^4)*SUMPRODUCT(T6:T29,H6:H29)-3</f>
        <v>0.39958032286281009</v>
      </c>
      <c r="AB11" s="14">
        <f>1/(J43*AB8^4)*SUMPRODUCT(U6:U28,I6:I28)-3</f>
        <v>-0.12277079437519545</v>
      </c>
      <c r="AC11" s="14">
        <f>1/(J43*AC8^4)*SUMPRODUCT(V6:V28,J6:J28)-3</f>
        <v>9.1061157944351212E-2</v>
      </c>
      <c r="AD11" s="21" t="s">
        <v>23</v>
      </c>
    </row>
    <row r="12" spans="1:30" ht="45" customHeight="1">
      <c r="A12" s="14">
        <v>1963</v>
      </c>
      <c r="B12" s="15">
        <v>3</v>
      </c>
      <c r="C12" s="15">
        <v>2.7</v>
      </c>
      <c r="D12" s="15">
        <v>5.4</v>
      </c>
      <c r="E12" s="15">
        <v>2.1</v>
      </c>
      <c r="F12" s="15">
        <v>2.8</v>
      </c>
      <c r="G12" s="15">
        <v>4.4000000000000004</v>
      </c>
      <c r="H12" s="14">
        <f>COUNTIF(B6:B42,E12)</f>
        <v>2</v>
      </c>
      <c r="I12" s="14">
        <f>COUNTIF(C6:C42,F12)</f>
        <v>1</v>
      </c>
      <c r="J12" s="14">
        <f>COUNTIF(D6:D42,G12)</f>
        <v>1</v>
      </c>
      <c r="K12" s="14">
        <f t="shared" si="2"/>
        <v>9</v>
      </c>
      <c r="L12" s="14">
        <f t="shared" si="3"/>
        <v>8</v>
      </c>
      <c r="M12" s="14">
        <f t="shared" si="4"/>
        <v>7</v>
      </c>
      <c r="N12" s="14">
        <f>(E12-AA5)^2</f>
        <v>0.31299488677867038</v>
      </c>
      <c r="O12" s="14">
        <f>(F12-AB5)^2</f>
        <v>0.51684441197954745</v>
      </c>
      <c r="P12" s="14">
        <f>(G12-AC5)^2</f>
        <v>0.33452154857560146</v>
      </c>
      <c r="Q12" s="14">
        <f>(E12-AA5)^3</f>
        <v>-0.17510795017076961</v>
      </c>
      <c r="R12" s="14">
        <f>(F12-AB5)^3</f>
        <v>-0.37156922590962072</v>
      </c>
      <c r="S12" s="14">
        <f>(G12-AC5)^3</f>
        <v>-0.19348003079777995</v>
      </c>
      <c r="T12" s="14">
        <f>(E12-AA5)^4</f>
        <v>9.7965799149592692E-2</v>
      </c>
      <c r="U12" s="14">
        <f>(F12-AB5)^4</f>
        <v>0.26712814619448416</v>
      </c>
      <c r="V12" s="14">
        <f>(G12-AC5)^4</f>
        <v>0.11190466646141849</v>
      </c>
      <c r="W12" s="15">
        <f t="shared" si="0"/>
        <v>-0.81891891891891877</v>
      </c>
      <c r="X12" s="15">
        <f t="shared" si="1"/>
        <v>0.42162162162162264</v>
      </c>
      <c r="Z12" s="16" t="s">
        <v>17</v>
      </c>
      <c r="AA12" s="15">
        <v>2.4500000000000002</v>
      </c>
      <c r="AB12" s="14">
        <v>3.2</v>
      </c>
      <c r="AC12" s="14">
        <v>4.8</v>
      </c>
      <c r="AD12" s="21" t="s">
        <v>21</v>
      </c>
    </row>
    <row r="13" spans="1:30">
      <c r="A13" s="14">
        <v>1964</v>
      </c>
      <c r="B13" s="15">
        <v>2.4</v>
      </c>
      <c r="C13" s="15">
        <v>3.2</v>
      </c>
      <c r="D13" s="15">
        <v>5.6</v>
      </c>
      <c r="E13" s="15">
        <v>2.2000000000000002</v>
      </c>
      <c r="F13" s="15">
        <v>2.9</v>
      </c>
      <c r="G13" s="15">
        <v>4.5</v>
      </c>
      <c r="H13" s="14">
        <f>COUNTIF(B6:B42,E13)</f>
        <v>3</v>
      </c>
      <c r="I13" s="14">
        <f>COUNTIF(C6:C42,F13)</f>
        <v>2</v>
      </c>
      <c r="J13" s="14">
        <f>COUNTIF(D6:D42,G13)</f>
        <v>1</v>
      </c>
      <c r="K13" s="14">
        <f t="shared" si="2"/>
        <v>12</v>
      </c>
      <c r="L13" s="14">
        <f t="shared" si="3"/>
        <v>10</v>
      </c>
      <c r="M13" s="14">
        <f t="shared" si="4"/>
        <v>8</v>
      </c>
      <c r="N13" s="14">
        <f>(E13-AA5)^2</f>
        <v>0.21110299488677844</v>
      </c>
      <c r="O13" s="14">
        <f>(F13-AB5)^2</f>
        <v>0.38306062819576348</v>
      </c>
      <c r="P13" s="14">
        <f>(G13-AC5)^2</f>
        <v>0.22884587289992631</v>
      </c>
      <c r="Q13" s="14">
        <f>(E13-AA5)^3</f>
        <v>-9.6993267920952211E-2</v>
      </c>
      <c r="R13" s="14">
        <f>(F13-AB5)^3</f>
        <v>-0.23708346988332393</v>
      </c>
      <c r="S13" s="14">
        <f>(G13-AC5)^3</f>
        <v>-0.10947491757645109</v>
      </c>
      <c r="T13" s="14">
        <f>(E13-AA5)^4</f>
        <v>4.4564474450167209E-2</v>
      </c>
      <c r="U13" s="14">
        <f>(F13-AB5)^4</f>
        <v>0.14673544487373294</v>
      </c>
      <c r="V13" s="14">
        <f>(G13-AC5)^4</f>
        <v>5.2370433543329223E-2</v>
      </c>
      <c r="W13" s="15">
        <f t="shared" si="0"/>
        <v>-0.31891891891891877</v>
      </c>
      <c r="X13" s="15">
        <f t="shared" si="1"/>
        <v>0.62162162162162193</v>
      </c>
      <c r="Z13" s="16" t="s">
        <v>18</v>
      </c>
      <c r="AA13" s="15">
        <f>(E17+E18)/2</f>
        <v>2.7</v>
      </c>
      <c r="AB13" s="15">
        <f>F17</f>
        <v>3.3</v>
      </c>
      <c r="AC13" s="15">
        <f>G17</f>
        <v>4.9000000000000004</v>
      </c>
      <c r="AD13" s="14"/>
    </row>
    <row r="14" spans="1:30">
      <c r="A14" s="14">
        <v>1965</v>
      </c>
      <c r="B14" s="15">
        <v>2.5</v>
      </c>
      <c r="C14" s="15">
        <v>4</v>
      </c>
      <c r="D14" s="15">
        <v>5.4</v>
      </c>
      <c r="E14" s="15">
        <v>2.2999999999999998</v>
      </c>
      <c r="F14" s="15">
        <v>3</v>
      </c>
      <c r="G14" s="15">
        <v>4.5999999999999996</v>
      </c>
      <c r="H14" s="14">
        <f>COUNTIF(B6:B42,E14)</f>
        <v>1</v>
      </c>
      <c r="I14" s="14">
        <f>COUNTIF(C6:C42,F14)</f>
        <v>1</v>
      </c>
      <c r="J14" s="14">
        <f>COUNTIF(D6:D42,G14)</f>
        <v>3</v>
      </c>
      <c r="K14" s="14">
        <f t="shared" si="2"/>
        <v>13</v>
      </c>
      <c r="L14" s="14">
        <f t="shared" si="3"/>
        <v>11</v>
      </c>
      <c r="M14" s="14">
        <f t="shared" si="4"/>
        <v>11</v>
      </c>
      <c r="N14" s="14">
        <f>(E14-AA5)^2</f>
        <v>0.12921110299488686</v>
      </c>
      <c r="O14" s="14">
        <f>(F14-AB5)^2</f>
        <v>0.26927684441197958</v>
      </c>
      <c r="P14" s="14">
        <f>(G14-AC5)^2</f>
        <v>0.14317019722425103</v>
      </c>
      <c r="Q14" s="14">
        <f>(E14-AA5)^3</f>
        <v>-4.6446153238702589E-2</v>
      </c>
      <c r="R14" s="14">
        <f>(F14-AB5)^3</f>
        <v>-0.13973284899216237</v>
      </c>
      <c r="S14" s="14">
        <f>(G14-AC5)^3</f>
        <v>-5.417250705782467E-2</v>
      </c>
      <c r="T14" s="14">
        <f>(E14-AA5)^4</f>
        <v>1.669550913715526E-2</v>
      </c>
      <c r="U14" s="14">
        <f>(F14-AB5)^4</f>
        <v>7.251001893647345E-2</v>
      </c>
      <c r="V14" s="14">
        <f>(G14-AC5)^4</f>
        <v>2.0497705373230937E-2</v>
      </c>
      <c r="W14" s="15">
        <f t="shared" si="0"/>
        <v>0.48108108108108105</v>
      </c>
      <c r="X14" s="15">
        <f t="shared" si="1"/>
        <v>0.42162162162162264</v>
      </c>
    </row>
    <row r="15" spans="1:30">
      <c r="A15" s="14">
        <v>1966</v>
      </c>
      <c r="B15" s="15">
        <v>3.3</v>
      </c>
      <c r="C15" s="15">
        <v>4.5</v>
      </c>
      <c r="D15" s="15">
        <v>5.5</v>
      </c>
      <c r="E15" s="15">
        <v>2.4</v>
      </c>
      <c r="F15" s="15">
        <v>3.1</v>
      </c>
      <c r="G15" s="15">
        <v>4.7</v>
      </c>
      <c r="H15" s="14">
        <f>COUNTIF(B6:B42,E15)</f>
        <v>4</v>
      </c>
      <c r="I15" s="14">
        <f>COUNTIF(C6:C42,F15)</f>
        <v>1</v>
      </c>
      <c r="J15" s="14">
        <f>COUNTIF(D6:D42,G15)</f>
        <v>1</v>
      </c>
      <c r="K15" s="14">
        <f t="shared" si="2"/>
        <v>17</v>
      </c>
      <c r="L15" s="14">
        <f t="shared" si="3"/>
        <v>12</v>
      </c>
      <c r="M15" s="14">
        <f t="shared" si="4"/>
        <v>12</v>
      </c>
      <c r="N15" s="14">
        <f>(E15-AA5)^2</f>
        <v>6.7319211102994894E-2</v>
      </c>
      <c r="O15" s="14">
        <f>(F15-AB5)^2</f>
        <v>0.17549306062819572</v>
      </c>
      <c r="P15" s="14">
        <f>(G15-AC5)^2</f>
        <v>7.7494521548575127E-2</v>
      </c>
      <c r="Q15" s="14">
        <f>(E15-AA5)^3</f>
        <v>-1.7466606124020297E-2</v>
      </c>
      <c r="R15" s="14">
        <f>(F15-AB5)^3</f>
        <v>-7.351736323613603E-2</v>
      </c>
      <c r="S15" s="14">
        <f>(G15-AC5)^3</f>
        <v>-2.157279924190058E-2</v>
      </c>
      <c r="T15" s="14">
        <f>(E15-AA5)^4</f>
        <v>4.5318761835295906E-3</v>
      </c>
      <c r="U15" s="14">
        <f>(F15-AB5)^4</f>
        <v>3.0797814328651581E-2</v>
      </c>
      <c r="V15" s="14">
        <f>(G15-AC5)^4</f>
        <v>6.0054008700425746E-3</v>
      </c>
      <c r="W15" s="15">
        <f t="shared" si="0"/>
        <v>0.98108108108108105</v>
      </c>
      <c r="X15" s="15">
        <f t="shared" si="1"/>
        <v>0.52162162162162229</v>
      </c>
    </row>
    <row r="16" spans="1:30">
      <c r="A16" s="14">
        <v>1967</v>
      </c>
      <c r="B16" s="15">
        <v>2.5</v>
      </c>
      <c r="C16" s="15">
        <v>3.2</v>
      </c>
      <c r="D16" s="15">
        <v>5.5</v>
      </c>
      <c r="E16" s="15">
        <v>2.5</v>
      </c>
      <c r="F16" s="15">
        <v>3.2</v>
      </c>
      <c r="G16" s="15">
        <v>4.8</v>
      </c>
      <c r="H16" s="14">
        <f>COUNTIF(B6:B42,E16)</f>
        <v>4</v>
      </c>
      <c r="I16" s="14">
        <f>COUNTIF(C6:C42,F16)</f>
        <v>6</v>
      </c>
      <c r="J16" s="14">
        <f>COUNTIF(D6:D42,G16)</f>
        <v>5</v>
      </c>
      <c r="K16" s="14">
        <f t="shared" si="2"/>
        <v>21</v>
      </c>
      <c r="L16" s="14">
        <f t="shared" si="3"/>
        <v>18</v>
      </c>
      <c r="M16" s="14">
        <f t="shared" si="4"/>
        <v>17</v>
      </c>
      <c r="N16" s="14">
        <f>(E16-AA5)^2</f>
        <v>2.5427319211102972E-2</v>
      </c>
      <c r="O16" s="14">
        <f>(F16-AB5)^2</f>
        <v>0.10170927684441189</v>
      </c>
      <c r="P16" s="14">
        <f>(G16-AC5)^2</f>
        <v>3.1818845872899751E-2</v>
      </c>
      <c r="Q16" s="14">
        <f>(E16-AA5)^3</f>
        <v>-4.054626576905607E-3</v>
      </c>
      <c r="R16" s="14">
        <f>(F16-AB5)^3</f>
        <v>-3.2437012615244856E-2</v>
      </c>
      <c r="S16" s="14">
        <f>(G16-AC5)^3</f>
        <v>-5.6757941286793992E-3</v>
      </c>
      <c r="T16" s="14">
        <f>(E16-AA5)^4</f>
        <v>6.4654856226332633E-4</v>
      </c>
      <c r="U16" s="14">
        <f>(F16-AB5)^4</f>
        <v>1.0344776996213221E-2</v>
      </c>
      <c r="V16" s="14">
        <f>(G16-AC5)^4</f>
        <v>1.0124389526833496E-3</v>
      </c>
      <c r="W16" s="15">
        <f t="shared" si="0"/>
        <v>-0.31891891891891877</v>
      </c>
      <c r="X16" s="15">
        <f t="shared" si="1"/>
        <v>0.52162162162162229</v>
      </c>
      <c r="Z16" s="19" t="s">
        <v>19</v>
      </c>
    </row>
    <row r="17" spans="1:29" ht="46.8">
      <c r="A17" s="14">
        <v>1968</v>
      </c>
      <c r="B17" s="15">
        <v>1.9</v>
      </c>
      <c r="C17" s="15">
        <v>3</v>
      </c>
      <c r="D17" s="15">
        <v>4.3</v>
      </c>
      <c r="E17" s="15">
        <v>2.6</v>
      </c>
      <c r="F17" s="15">
        <v>3.3</v>
      </c>
      <c r="G17" s="15">
        <v>4.9000000000000004</v>
      </c>
      <c r="H17" s="14">
        <f>COUNTIF(B6:B42,E17)</f>
        <v>2</v>
      </c>
      <c r="I17" s="14">
        <f>COUNTIF(C6:C42,F17)</f>
        <v>1</v>
      </c>
      <c r="J17" s="14">
        <f>COUNTIF(D6:D42,G17)</f>
        <v>2</v>
      </c>
      <c r="K17" s="14">
        <f t="shared" si="2"/>
        <v>23</v>
      </c>
      <c r="L17" s="14">
        <f t="shared" si="3"/>
        <v>19</v>
      </c>
      <c r="M17" s="14">
        <f t="shared" si="4"/>
        <v>19</v>
      </c>
      <c r="N17" s="14">
        <f>(E17-AA5)^2</f>
        <v>3.5354273192110836E-3</v>
      </c>
      <c r="O17" s="14">
        <f>(F17-AB5)^2</f>
        <v>4.7925493060628287E-2</v>
      </c>
      <c r="P17" s="14">
        <f>(G17-AC5)^2</f>
        <v>6.1431701972240911E-3</v>
      </c>
      <c r="Q17" s="14">
        <f>(E17-AA5)^3</f>
        <v>-2.1021459735849629E-4</v>
      </c>
      <c r="R17" s="14">
        <f>(F17-AB5)^3</f>
        <v>-1.0491797129488905E-2</v>
      </c>
      <c r="S17" s="14">
        <f>(G17-AC5)^3</f>
        <v>-4.8149171816080086E-4</v>
      </c>
      <c r="T17" s="14">
        <f>(E17-AA5)^4</f>
        <v>1.2499246329424069E-5</v>
      </c>
      <c r="U17" s="14">
        <f>(F17-AB5)^4</f>
        <v>2.2968528851043299E-3</v>
      </c>
      <c r="V17" s="14">
        <f>(G17-AC5)^4</f>
        <v>3.7738540072062277E-5</v>
      </c>
      <c r="W17" s="15">
        <f t="shared" si="0"/>
        <v>-0.51891891891891895</v>
      </c>
      <c r="X17" s="15">
        <f t="shared" si="1"/>
        <v>-0.67837837837837789</v>
      </c>
      <c r="Z17" s="14"/>
      <c r="AA17" s="17" t="s">
        <v>1</v>
      </c>
      <c r="AB17" s="18" t="s">
        <v>50</v>
      </c>
      <c r="AC17" s="18" t="s">
        <v>51</v>
      </c>
    </row>
    <row r="18" spans="1:29">
      <c r="A18" s="14">
        <v>1969</v>
      </c>
      <c r="B18" s="15">
        <v>2.1</v>
      </c>
      <c r="C18" s="15">
        <v>3.3</v>
      </c>
      <c r="D18" s="15">
        <v>4.9000000000000004</v>
      </c>
      <c r="E18" s="15">
        <v>2.8</v>
      </c>
      <c r="F18" s="15">
        <v>3.4</v>
      </c>
      <c r="G18" s="15">
        <v>5.0999999999999996</v>
      </c>
      <c r="H18" s="14">
        <f>COUNTIF(B6:B42,E18)</f>
        <v>1</v>
      </c>
      <c r="I18" s="14">
        <f>COUNTIF(C6:C42,F18)</f>
        <v>2</v>
      </c>
      <c r="J18" s="14">
        <f>COUNTIF(D6:D42,G18)</f>
        <v>1</v>
      </c>
      <c r="K18" s="14">
        <f t="shared" si="2"/>
        <v>24</v>
      </c>
      <c r="L18" s="14">
        <f t="shared" si="3"/>
        <v>21</v>
      </c>
      <c r="M18" s="14">
        <f t="shared" si="4"/>
        <v>20</v>
      </c>
      <c r="N18" s="14">
        <f>(E18-AA5)^2</f>
        <v>1.9751643535427289E-2</v>
      </c>
      <c r="O18" s="14">
        <f>(F18-AB5)^2</f>
        <v>1.414170927684444E-2</v>
      </c>
      <c r="P18" s="14">
        <f>(G18-AC5)^2</f>
        <v>1.4791818845872976E-2</v>
      </c>
      <c r="Q18" s="14">
        <f>(E18-AA5)^3</f>
        <v>2.7759066590330225E-3</v>
      </c>
      <c r="R18" s="14">
        <f>(F18-AB5)^3</f>
        <v>-1.6817167788679892E-3</v>
      </c>
      <c r="S18" s="14">
        <f>(G18-AC5)^3</f>
        <v>1.7990049947683394E-3</v>
      </c>
      <c r="T18" s="14">
        <f>(E18-AA5)^4</f>
        <v>3.9012742235058662E-4</v>
      </c>
      <c r="U18" s="14">
        <f>(F18-AB5)^4</f>
        <v>1.9998794127078811E-4</v>
      </c>
      <c r="V18" s="14">
        <f>(G18-AC5)^4</f>
        <v>2.1879790476912294E-4</v>
      </c>
      <c r="W18" s="15">
        <f t="shared" si="0"/>
        <v>-0.21891891891891913</v>
      </c>
      <c r="X18" s="15">
        <f t="shared" si="1"/>
        <v>-7.8378378378377356E-2</v>
      </c>
      <c r="Z18" s="16" t="s">
        <v>10</v>
      </c>
      <c r="AA18" s="15">
        <f>AVERAGE(B6:B42)</f>
        <v>2.6594594594594594</v>
      </c>
      <c r="AB18" s="15">
        <f>AVERAGE(C6:C42)</f>
        <v>3.5189189189189185</v>
      </c>
      <c r="AC18" s="15">
        <f>AVERAGE(D6:D42)</f>
        <v>4.9783783783783786</v>
      </c>
    </row>
    <row r="19" spans="1:29">
      <c r="A19" s="14">
        <v>1970</v>
      </c>
      <c r="B19" s="15">
        <v>2.2000000000000002</v>
      </c>
      <c r="C19" s="15">
        <v>3.1</v>
      </c>
      <c r="D19" s="15">
        <v>4.5</v>
      </c>
      <c r="E19" s="15">
        <v>2.9</v>
      </c>
      <c r="F19" s="15">
        <v>3.5</v>
      </c>
      <c r="G19" s="15">
        <v>5.2</v>
      </c>
      <c r="H19" s="14">
        <f>COUNTIF(B6:B42,E19)</f>
        <v>1</v>
      </c>
      <c r="I19" s="14">
        <f>COUNTIF(C6:C42,F19)</f>
        <v>3</v>
      </c>
      <c r="J19" s="14">
        <f>COUNTIF(D6:D42,G19)</f>
        <v>1</v>
      </c>
      <c r="K19" s="14">
        <f t="shared" si="2"/>
        <v>25</v>
      </c>
      <c r="L19" s="14">
        <f t="shared" si="3"/>
        <v>24</v>
      </c>
      <c r="M19" s="14">
        <f t="shared" si="4"/>
        <v>21</v>
      </c>
      <c r="N19" s="14">
        <f>(E19-AA5)^2</f>
        <v>5.785975164353542E-2</v>
      </c>
      <c r="O19" s="14">
        <f>(F19-AB5)^2</f>
        <v>3.5792549306062931E-4</v>
      </c>
      <c r="P19" s="14">
        <f>(G19-AC5)^2</f>
        <v>4.91161431701976E-2</v>
      </c>
      <c r="Q19" s="14">
        <f>(E19-AA5)^3</f>
        <v>1.3917615935877438E-2</v>
      </c>
      <c r="R19" s="14">
        <f>(F19-AB5)^3</f>
        <v>-6.7715633822281323E-6</v>
      </c>
      <c r="S19" s="14">
        <f>(G19-AC5)^3</f>
        <v>1.0885199297178969E-2</v>
      </c>
      <c r="T19" s="14">
        <f>(E19-AA5)^4</f>
        <v>3.3477508602515996E-3</v>
      </c>
      <c r="U19" s="14">
        <f>(F19-AB5)^4</f>
        <v>1.2811065858269459E-7</v>
      </c>
      <c r="V19" s="14">
        <f>(G19-AC5)^4</f>
        <v>2.4123955199153485E-3</v>
      </c>
      <c r="W19" s="15">
        <f t="shared" si="0"/>
        <v>-0.41891891891891886</v>
      </c>
      <c r="X19" s="15">
        <f t="shared" si="1"/>
        <v>-0.47837837837837771</v>
      </c>
      <c r="Z19" s="16" t="s">
        <v>11</v>
      </c>
      <c r="AA19" s="14">
        <f>VARP(B6:B42)</f>
        <v>0.68943754565376458</v>
      </c>
      <c r="AB19" s="14">
        <f>VARP(C6:C42)</f>
        <v>0.84207450693937391</v>
      </c>
      <c r="AC19" s="14">
        <f>VARP(D6:D42)</f>
        <v>0.57845142439736608</v>
      </c>
    </row>
    <row r="20" spans="1:29">
      <c r="A20" s="14">
        <v>1971</v>
      </c>
      <c r="B20" s="15">
        <v>2.4</v>
      </c>
      <c r="C20" s="15">
        <v>3.2</v>
      </c>
      <c r="D20" s="15">
        <v>5.3</v>
      </c>
      <c r="E20" s="15">
        <v>3</v>
      </c>
      <c r="F20" s="15">
        <v>3.8</v>
      </c>
      <c r="G20" s="15">
        <v>5.3</v>
      </c>
      <c r="H20" s="14">
        <f>COUNTIF(B6:B42,E20)</f>
        <v>2</v>
      </c>
      <c r="I20" s="14">
        <f>COUNTIF(C6:C42,F20)</f>
        <v>1</v>
      </c>
      <c r="J20" s="14">
        <f>COUNTIF(D6:D42,G20)</f>
        <v>2</v>
      </c>
      <c r="K20" s="14">
        <f t="shared" si="2"/>
        <v>27</v>
      </c>
      <c r="L20" s="14">
        <f t="shared" si="3"/>
        <v>25</v>
      </c>
      <c r="M20" s="14">
        <f t="shared" si="4"/>
        <v>23</v>
      </c>
      <c r="N20" s="14">
        <f>(E20-AA5)^2</f>
        <v>0.11596785975164359</v>
      </c>
      <c r="O20" s="14">
        <f>(F20-AB5)^2</f>
        <v>7.9006574141709154E-2</v>
      </c>
      <c r="P20" s="14">
        <f>(G20-AC5)^2</f>
        <v>0.10344046749452186</v>
      </c>
      <c r="Q20" s="14">
        <f>(E20-AA5)^3</f>
        <v>3.9491757645154314E-2</v>
      </c>
      <c r="R20" s="14">
        <f>(F20-AB5)^3</f>
        <v>2.220725327226418E-2</v>
      </c>
      <c r="S20" s="14">
        <f>(G20-AC5)^3</f>
        <v>3.3268690896886811E-2</v>
      </c>
      <c r="T20" s="14">
        <f>(E20-AA5)^4</f>
        <v>1.3448544495376876E-2</v>
      </c>
      <c r="U20" s="14">
        <f>(F20-AB5)^4</f>
        <v>6.2420387576093859E-3</v>
      </c>
      <c r="V20" s="14">
        <f>(G20-AC5)^4</f>
        <v>1.0699930315485233E-2</v>
      </c>
      <c r="W20" s="15">
        <f t="shared" si="0"/>
        <v>-0.31891891891891877</v>
      </c>
      <c r="X20" s="15">
        <f t="shared" si="1"/>
        <v>0.32162162162162211</v>
      </c>
      <c r="Z20" s="16" t="s">
        <v>12</v>
      </c>
      <c r="AA20" s="14">
        <f>VAR(B6:B42)</f>
        <v>0.70858858858859086</v>
      </c>
      <c r="AB20" s="14">
        <f>VAR(C6:C42)</f>
        <v>0.86546546546546843</v>
      </c>
      <c r="AC20" s="14">
        <f>VAR(D6:D42)</f>
        <v>0.59451951951951776</v>
      </c>
    </row>
    <row r="21" spans="1:29">
      <c r="A21" s="14">
        <v>1972</v>
      </c>
      <c r="B21" s="15">
        <v>2.2000000000000002</v>
      </c>
      <c r="C21" s="15">
        <v>2.4</v>
      </c>
      <c r="D21" s="15">
        <v>3.9</v>
      </c>
      <c r="E21" s="15">
        <v>3.1</v>
      </c>
      <c r="F21" s="15">
        <v>3.9</v>
      </c>
      <c r="G21" s="15">
        <v>5.4</v>
      </c>
      <c r="H21" s="14">
        <f>COUNTIF(B6:B42,E21)</f>
        <v>2</v>
      </c>
      <c r="I21" s="14">
        <f>COUNTIF(C6:C42,F21)</f>
        <v>1</v>
      </c>
      <c r="J21" s="14">
        <f>COUNTIF(D6:D42,G21)</f>
        <v>4</v>
      </c>
      <c r="K21" s="14">
        <f t="shared" si="2"/>
        <v>29</v>
      </c>
      <c r="L21" s="14">
        <f t="shared" si="3"/>
        <v>26</v>
      </c>
      <c r="M21" s="14">
        <f t="shared" si="4"/>
        <v>27</v>
      </c>
      <c r="N21" s="14">
        <f>(E21-AA5)^2</f>
        <v>0.19407596785975179</v>
      </c>
      <c r="O21" s="14">
        <f>(F21-AB5)^2</f>
        <v>0.1452227903579254</v>
      </c>
      <c r="P21" s="14">
        <f>(G21-AC5)^2</f>
        <v>0.17776479181884675</v>
      </c>
      <c r="Q21" s="14">
        <f>(E21-AA5)^3</f>
        <v>8.5498331786863654E-2</v>
      </c>
      <c r="R21" s="14">
        <f>(F21-AB5)^3</f>
        <v>5.534165794720939E-2</v>
      </c>
      <c r="S21" s="14">
        <f>(G21-AC5)^3</f>
        <v>7.4949479793892326E-2</v>
      </c>
      <c r="T21" s="14">
        <f>(E21-AA5)^4</f>
        <v>3.766548130069941E-2</v>
      </c>
      <c r="U21" s="14">
        <f>(F21-AB5)^4</f>
        <v>2.1089658839341951E-2</v>
      </c>
      <c r="V21" s="14">
        <f>(G21-AC5)^4</f>
        <v>3.1600321210397922E-2</v>
      </c>
      <c r="W21" s="15">
        <f t="shared" si="0"/>
        <v>-1.118918918918919</v>
      </c>
      <c r="X21" s="15">
        <f t="shared" si="1"/>
        <v>-1.0783783783783778</v>
      </c>
      <c r="Z21" s="16" t="s">
        <v>13</v>
      </c>
      <c r="AA21" s="14">
        <f>STDEVP(B6:B42)</f>
        <v>0.83032375953826865</v>
      </c>
      <c r="AB21" s="14">
        <f>STDEVP(C6:C42)</f>
        <v>0.91764617742317978</v>
      </c>
      <c r="AC21" s="14">
        <f>STDEVP(D6:D42)</f>
        <v>0.76055994135726479</v>
      </c>
    </row>
    <row r="22" spans="1:29">
      <c r="A22" s="14">
        <v>1973</v>
      </c>
      <c r="B22" s="15">
        <v>2.5</v>
      </c>
      <c r="C22" s="15">
        <v>3.5</v>
      </c>
      <c r="D22" s="15">
        <v>5.5</v>
      </c>
      <c r="E22" s="15">
        <v>3.3</v>
      </c>
      <c r="F22" s="15">
        <v>4</v>
      </c>
      <c r="G22" s="15">
        <v>5.5</v>
      </c>
      <c r="H22" s="14">
        <f>COUNTIF(B6:B42,E22)</f>
        <v>1</v>
      </c>
      <c r="I22" s="14">
        <f>COUNTIF(C6:C42,F22)</f>
        <v>2</v>
      </c>
      <c r="J22" s="14">
        <f>COUNTIF(D6:D42,G22)</f>
        <v>3</v>
      </c>
      <c r="K22" s="14">
        <f t="shared" si="2"/>
        <v>30</v>
      </c>
      <c r="L22" s="14">
        <f t="shared" si="3"/>
        <v>28</v>
      </c>
      <c r="M22" s="14">
        <f t="shared" si="4"/>
        <v>30</v>
      </c>
      <c r="N22" s="14">
        <f>(E22-AA5)^2</f>
        <v>0.41029218407596774</v>
      </c>
      <c r="O22" s="14">
        <f>(F22-AB5)^2</f>
        <v>0.23143900657414168</v>
      </c>
      <c r="P22" s="14">
        <f>(G22-AC5)^2</f>
        <v>0.27208911614317088</v>
      </c>
      <c r="Q22" s="14">
        <f>(E22-AA5)^3</f>
        <v>0.26280877736757929</v>
      </c>
      <c r="R22" s="14">
        <f>(F22-AB5)^3</f>
        <v>0.1113409274870195</v>
      </c>
      <c r="S22" s="14">
        <f>(G22-AC5)^3</f>
        <v>0.14192756598819473</v>
      </c>
      <c r="T22" s="14">
        <f>(E22-AA5)^4</f>
        <v>0.16833967631382779</v>
      </c>
      <c r="U22" s="14">
        <f>(F22-AB5)^4</f>
        <v>5.3564013764025593E-2</v>
      </c>
      <c r="V22" s="14">
        <f>(G22-AC5)^4</f>
        <v>7.4032487123571938E-2</v>
      </c>
      <c r="W22" s="15">
        <f t="shared" si="0"/>
        <v>-1.8918918918918948E-2</v>
      </c>
      <c r="X22" s="15">
        <f t="shared" si="1"/>
        <v>0.52162162162162229</v>
      </c>
      <c r="Z22" s="16" t="s">
        <v>14</v>
      </c>
      <c r="AA22" s="14">
        <f>AA21/AA18</f>
        <v>0.3122152347857311</v>
      </c>
      <c r="AB22" s="14">
        <f>AB21/AB18</f>
        <v>0.26077502737832303</v>
      </c>
      <c r="AC22" s="14">
        <f>AC21/AC18</f>
        <v>0.15277262665699673</v>
      </c>
    </row>
    <row r="23" spans="1:29">
      <c r="A23" s="14">
        <v>1974</v>
      </c>
      <c r="B23" s="15">
        <v>2.2999999999999998</v>
      </c>
      <c r="C23" s="15">
        <v>3.4</v>
      </c>
      <c r="D23" s="15">
        <v>4.8</v>
      </c>
      <c r="E23" s="15">
        <v>3.5</v>
      </c>
      <c r="F23" s="15">
        <v>4.0999999999999996</v>
      </c>
      <c r="G23" s="15">
        <v>5.6</v>
      </c>
      <c r="H23" s="14">
        <f>COUNTIF(B6:B42,E23)</f>
        <v>1</v>
      </c>
      <c r="I23" s="14">
        <f>COUNTIF(C6:C42,F23)</f>
        <v>1</v>
      </c>
      <c r="J23" s="14">
        <f>COUNTIF(D6:D42,G23)</f>
        <v>1</v>
      </c>
      <c r="K23" s="14">
        <f t="shared" si="2"/>
        <v>31</v>
      </c>
      <c r="L23" s="14">
        <f t="shared" si="3"/>
        <v>29</v>
      </c>
      <c r="M23" s="14">
        <f t="shared" si="4"/>
        <v>31</v>
      </c>
      <c r="N23" s="14">
        <f>(E23-AA5)^2</f>
        <v>0.7065084002921842</v>
      </c>
      <c r="O23" s="14">
        <f>(F23-AB5)^2</f>
        <v>0.33765522279035748</v>
      </c>
      <c r="P23" s="14">
        <f>(G23-AC5)^2</f>
        <v>0.38641344046749493</v>
      </c>
      <c r="Q23" s="14">
        <f>(E23-AA5)^3</f>
        <v>0.59384895267802518</v>
      </c>
      <c r="R23" s="14">
        <f>(F23-AB5)^3</f>
        <v>0.19620506189169409</v>
      </c>
      <c r="S23" s="14">
        <f>(G23-AC5)^3</f>
        <v>0.24020294947979426</v>
      </c>
      <c r="T23" s="14">
        <f>(E23-AA5)^4</f>
        <v>0.49915411968342116</v>
      </c>
      <c r="U23" s="14">
        <f>(F23-AB5)^4</f>
        <v>0.11401104947760594</v>
      </c>
      <c r="V23" s="14">
        <f>(G23-AC5)^4</f>
        <v>0.14931534697392626</v>
      </c>
      <c r="W23" s="15">
        <f t="shared" si="0"/>
        <v>-0.11891891891891904</v>
      </c>
      <c r="X23" s="15">
        <f t="shared" si="1"/>
        <v>-0.17837837837837789</v>
      </c>
      <c r="Z23" s="16" t="s">
        <v>15</v>
      </c>
      <c r="AA23" s="14">
        <f>SKEW(B6:B42)</f>
        <v>0.69120205743515706</v>
      </c>
      <c r="AB23" s="14">
        <f t="shared" ref="AB23:AC23" si="6">SKEW(C6:C42)</f>
        <v>0.47910719925729817</v>
      </c>
      <c r="AC23" s="14">
        <f t="shared" si="6"/>
        <v>-0.36701751755914058</v>
      </c>
    </row>
    <row r="24" spans="1:29">
      <c r="A24" s="14">
        <v>1975</v>
      </c>
      <c r="B24" s="15">
        <v>3</v>
      </c>
      <c r="C24" s="15">
        <v>5.6</v>
      </c>
      <c r="D24" s="15">
        <v>4.8</v>
      </c>
      <c r="E24" s="15">
        <v>3.6</v>
      </c>
      <c r="F24" s="15">
        <v>4.5</v>
      </c>
      <c r="G24" s="15">
        <v>5.7</v>
      </c>
      <c r="H24" s="14">
        <f>COUNTIF(B6:B42,E24)</f>
        <v>1</v>
      </c>
      <c r="I24" s="14">
        <f>COUNTIF(C6:C42,F24)</f>
        <v>3</v>
      </c>
      <c r="J24" s="14">
        <f>COUNTIF(D6:D42,G24)</f>
        <v>1</v>
      </c>
      <c r="K24" s="14">
        <f t="shared" si="2"/>
        <v>32</v>
      </c>
      <c r="L24" s="14">
        <f t="shared" si="3"/>
        <v>32</v>
      </c>
      <c r="M24" s="14">
        <f t="shared" si="4"/>
        <v>32</v>
      </c>
      <c r="N24" s="14">
        <f>(E24-AA5)^2</f>
        <v>0.88461650840029249</v>
      </c>
      <c r="O24" s="14">
        <f>(F24-AB5)^2</f>
        <v>0.96252008765522279</v>
      </c>
      <c r="P24" s="14">
        <f>(G24-AC5)^2</f>
        <v>0.5207377647918201</v>
      </c>
      <c r="Q24" s="14">
        <f>(E24-AA5)^3</f>
        <v>0.83201768898189687</v>
      </c>
      <c r="R24" s="14">
        <f>(F24-AB5)^3</f>
        <v>0.94431024815904285</v>
      </c>
      <c r="S24" s="14">
        <f>(G24-AC5)^3</f>
        <v>0.37577563026869226</v>
      </c>
      <c r="T24" s="14">
        <f>(E24-AA5)^4</f>
        <v>0.78254636693432478</v>
      </c>
      <c r="U24" s="14">
        <f>(F24-AB5)^4</f>
        <v>0.92644491913981775</v>
      </c>
      <c r="V24" s="14">
        <f>(G24-AC5)^4</f>
        <v>0.27116781968038095</v>
      </c>
      <c r="W24" s="15">
        <f t="shared" si="0"/>
        <v>2.0810810810810807</v>
      </c>
      <c r="X24" s="15">
        <f t="shared" si="1"/>
        <v>-0.17837837837837789</v>
      </c>
      <c r="Y24" s="1"/>
      <c r="Z24" s="16" t="s">
        <v>16</v>
      </c>
      <c r="AA24" s="14">
        <f>KURT(B6:B42)</f>
        <v>0.64086208544229128</v>
      </c>
      <c r="AB24" s="14">
        <f t="shared" ref="AB24:AC24" si="7">KURT(C6:C42)</f>
        <v>4.0377775877925792E-2</v>
      </c>
      <c r="AC24" s="14">
        <f t="shared" si="7"/>
        <v>0.28619467568729373</v>
      </c>
    </row>
    <row r="25" spans="1:29">
      <c r="A25" s="14">
        <v>1976</v>
      </c>
      <c r="B25" s="15">
        <v>3.9</v>
      </c>
      <c r="C25" s="15">
        <v>2.5</v>
      </c>
      <c r="D25" s="15">
        <v>3.5</v>
      </c>
      <c r="E25" s="15">
        <v>3.7</v>
      </c>
      <c r="F25" s="15">
        <v>4.5999999999999996</v>
      </c>
      <c r="G25" s="15">
        <v>5.8</v>
      </c>
      <c r="H25" s="14">
        <f>COUNTIF(B6:B42,E25)</f>
        <v>1</v>
      </c>
      <c r="I25" s="14">
        <f>COUNTIF(C6:C42,F25)</f>
        <v>1</v>
      </c>
      <c r="J25" s="14">
        <f>COUNTIF(D6:D42,G25)</f>
        <v>1</v>
      </c>
      <c r="K25" s="14">
        <f t="shared" si="2"/>
        <v>33</v>
      </c>
      <c r="L25" s="14">
        <f t="shared" si="3"/>
        <v>33</v>
      </c>
      <c r="M25" s="14">
        <f t="shared" si="4"/>
        <v>33</v>
      </c>
      <c r="N25" s="14">
        <f>(E25-AA5)^2</f>
        <v>1.0827246165084008</v>
      </c>
      <c r="O25" s="14">
        <f>(F25-AB5)^2</f>
        <v>1.1687363038714382</v>
      </c>
      <c r="P25" s="14">
        <f>(G25-AC5)^2</f>
        <v>0.67506208911614396</v>
      </c>
      <c r="Q25" s="14">
        <f>(E25-AA5)^3</f>
        <v>1.126618857718201</v>
      </c>
      <c r="R25" s="14">
        <f>(F25-AB5)^3</f>
        <v>1.2634987068880408</v>
      </c>
      <c r="S25" s="14">
        <f>(G25-AC5)^3</f>
        <v>0.55464560835488619</v>
      </c>
      <c r="T25" s="14">
        <f>(E25-AA5)^4</f>
        <v>1.1722925951932637</v>
      </c>
      <c r="U25" s="14">
        <f>(F25-AB5)^4</f>
        <v>1.3659445479870709</v>
      </c>
      <c r="V25" s="14">
        <f>(G25-AC5)^4</f>
        <v>0.45570882416185271</v>
      </c>
      <c r="W25" s="15">
        <f t="shared" si="0"/>
        <v>-1.0189189189189189</v>
      </c>
      <c r="X25" s="15">
        <f t="shared" si="1"/>
        <v>-1.4783783783783777</v>
      </c>
      <c r="Z25" s="16" t="s">
        <v>17</v>
      </c>
      <c r="AA25" s="14">
        <f>MODE(B6:B42)</f>
        <v>2.4</v>
      </c>
      <c r="AB25" s="14">
        <f t="shared" ref="AB25:AC25" si="8">MODE(C6:C42)</f>
        <v>3.2</v>
      </c>
      <c r="AC25" s="14">
        <f t="shared" si="8"/>
        <v>4.8</v>
      </c>
    </row>
    <row r="26" spans="1:29">
      <c r="A26" s="14">
        <v>1977</v>
      </c>
      <c r="B26" s="15">
        <v>3.1</v>
      </c>
      <c r="C26" s="15">
        <v>4</v>
      </c>
      <c r="D26" s="15">
        <v>4.5999999999999996</v>
      </c>
      <c r="E26" s="15">
        <v>3.8</v>
      </c>
      <c r="F26" s="15">
        <v>5.0999999999999996</v>
      </c>
      <c r="G26" s="15">
        <v>5.9</v>
      </c>
      <c r="H26" s="14">
        <f>COUNTIF(B6:B42,E26)</f>
        <v>1</v>
      </c>
      <c r="I26" s="14">
        <f>COUNTIF(C6:C42,F26)</f>
        <v>2</v>
      </c>
      <c r="J26" s="14">
        <f>COUNTIF(D6:D42,G26)</f>
        <v>2</v>
      </c>
      <c r="K26" s="14">
        <f t="shared" si="2"/>
        <v>34</v>
      </c>
      <c r="L26" s="14">
        <f t="shared" si="3"/>
        <v>35</v>
      </c>
      <c r="M26" s="14">
        <f t="shared" si="4"/>
        <v>35</v>
      </c>
      <c r="N26" s="14">
        <f>(E26-AA5)^2</f>
        <v>1.3008327246165081</v>
      </c>
      <c r="O26" s="14">
        <f>(F26-AB5)^2</f>
        <v>2.4998173849525189</v>
      </c>
      <c r="P26" s="14">
        <f>(G26-AC5)^2</f>
        <v>0.84938641344046939</v>
      </c>
      <c r="Q26" s="14">
        <f>(E26-AA5)^3</f>
        <v>1.4836524588869362</v>
      </c>
      <c r="R26" s="14">
        <f>(F26-AB5)^3</f>
        <v>3.9524139735060086</v>
      </c>
      <c r="S26" s="14">
        <f>(G26-AC5)^3</f>
        <v>0.78281288373837943</v>
      </c>
      <c r="T26" s="14">
        <f>(E26-AA5)^4</f>
        <v>1.692165777433208</v>
      </c>
      <c r="U26" s="14">
        <f>(F26-AB5)^4</f>
        <v>6.2490869581108504</v>
      </c>
      <c r="V26" s="14">
        <f>(G26-AC5)^4</f>
        <v>0.721457279337264</v>
      </c>
      <c r="W26" s="15">
        <f t="shared" si="0"/>
        <v>0.48108108108108105</v>
      </c>
      <c r="X26" s="15">
        <f t="shared" si="1"/>
        <v>-0.37837837837837807</v>
      </c>
      <c r="Z26" s="16" t="s">
        <v>18</v>
      </c>
      <c r="AA26" s="15">
        <f>MEDIAN(E6:E29)</f>
        <v>2.7</v>
      </c>
      <c r="AB26" s="15">
        <f>MEDIAN(F6:F28)</f>
        <v>3.3</v>
      </c>
      <c r="AC26" s="15">
        <f>MEDIAN(G6:G28)</f>
        <v>4.9000000000000004</v>
      </c>
    </row>
    <row r="27" spans="1:29">
      <c r="A27" s="14">
        <v>1978</v>
      </c>
      <c r="B27" s="15">
        <v>3.1</v>
      </c>
      <c r="C27" s="15">
        <v>2.6</v>
      </c>
      <c r="D27" s="15">
        <v>3.1</v>
      </c>
      <c r="E27" s="15">
        <v>3.9</v>
      </c>
      <c r="F27" s="15">
        <v>5.5</v>
      </c>
      <c r="G27" s="15">
        <v>6.2</v>
      </c>
      <c r="H27" s="14">
        <f>COUNTIF(B6:B42,E27)</f>
        <v>1</v>
      </c>
      <c r="I27" s="14">
        <f>COUNTIF(C6:C42,F27)</f>
        <v>1</v>
      </c>
      <c r="J27" s="14">
        <f>COUNTIF(D6:D42,G27)</f>
        <v>1</v>
      </c>
      <c r="K27" s="14">
        <f t="shared" ref="K27:K29" si="9">K26+H27</f>
        <v>35</v>
      </c>
      <c r="L27" s="14">
        <f t="shared" si="3"/>
        <v>36</v>
      </c>
      <c r="M27" s="14">
        <f t="shared" si="4"/>
        <v>36</v>
      </c>
      <c r="N27" s="14">
        <f>(E27-AA5)^2</f>
        <v>1.5389408327246166</v>
      </c>
      <c r="O27" s="14">
        <f>(F27-AB5)^2</f>
        <v>3.9246822498173848</v>
      </c>
      <c r="P27" s="14">
        <f>(G27-AC5)^2</f>
        <v>1.4923593864134426</v>
      </c>
      <c r="Q27" s="14">
        <f>(E27-AA5)^3</f>
        <v>1.9091184924881055</v>
      </c>
      <c r="R27" s="14">
        <f>(F27-AB5)^3</f>
        <v>7.775113754367954</v>
      </c>
      <c r="S27" s="14">
        <f>(G27-AC5)^3</f>
        <v>1.8230984936726393</v>
      </c>
      <c r="T27" s="14">
        <f>(E27-AA5)^4</f>
        <v>2.3683388866271362</v>
      </c>
      <c r="U27" s="14">
        <f>(F27-AB5)^4</f>
        <v>15.403130762031649</v>
      </c>
      <c r="V27" s="14">
        <f>(G27-AC5)^4</f>
        <v>2.2271365382163069</v>
      </c>
      <c r="W27" s="15">
        <f t="shared" si="0"/>
        <v>-0.91891891891891886</v>
      </c>
      <c r="X27" s="15">
        <f t="shared" si="1"/>
        <v>-1.8783783783783776</v>
      </c>
    </row>
    <row r="28" spans="1:29">
      <c r="A28" s="14">
        <v>1979</v>
      </c>
      <c r="B28" s="15">
        <v>2.5</v>
      </c>
      <c r="C28" s="15">
        <v>2.2999999999999998</v>
      </c>
      <c r="D28" s="15">
        <v>6.2</v>
      </c>
      <c r="E28" s="15">
        <v>4.5999999999999996</v>
      </c>
      <c r="F28" s="15">
        <v>5.6</v>
      </c>
      <c r="G28" s="15">
        <v>6.7</v>
      </c>
      <c r="H28" s="14">
        <f>COUNTIF(B6:B42,E28)</f>
        <v>1</v>
      </c>
      <c r="I28" s="14">
        <f>COUNTIF(C6:C42,F28)</f>
        <v>1</v>
      </c>
      <c r="J28" s="14">
        <f>COUNTIF(D6:D42,G28)</f>
        <v>1</v>
      </c>
      <c r="K28" s="14">
        <f t="shared" si="9"/>
        <v>36</v>
      </c>
      <c r="L28" s="14">
        <f t="shared" si="3"/>
        <v>37</v>
      </c>
      <c r="M28" s="14">
        <f t="shared" si="4"/>
        <v>37</v>
      </c>
      <c r="N28" s="14">
        <f>(E28-AA5)^2</f>
        <v>3.765697589481372</v>
      </c>
      <c r="O28" s="14">
        <f>(F28-AB5)^2</f>
        <v>4.3308984660335996</v>
      </c>
      <c r="P28" s="14">
        <f>(G28-AC5)^2</f>
        <v>2.963981008035065</v>
      </c>
      <c r="Q28" s="14">
        <f>(E28-AA5)^3</f>
        <v>7.3074888358043912</v>
      </c>
      <c r="R28" s="14">
        <f>(F28-AB5)^3</f>
        <v>9.0129508617455976</v>
      </c>
      <c r="S28" s="14">
        <f>(G28-AC5)^3</f>
        <v>5.1028537895090196</v>
      </c>
      <c r="T28" s="14">
        <f>(E28-AA5)^4</f>
        <v>14.180478335425816</v>
      </c>
      <c r="U28" s="14">
        <f>(F28-AB5)^4</f>
        <v>18.756681523092187</v>
      </c>
      <c r="V28" s="14">
        <f>(G28-AC5)^4</f>
        <v>8.7851834159925595</v>
      </c>
      <c r="W28" s="15">
        <f t="shared" si="0"/>
        <v>-1.2189189189189191</v>
      </c>
      <c r="X28" s="15">
        <f t="shared" si="1"/>
        <v>1.2216216216216225</v>
      </c>
    </row>
    <row r="29" spans="1:29">
      <c r="A29" s="14">
        <v>1980</v>
      </c>
      <c r="B29" s="15">
        <v>2.1</v>
      </c>
      <c r="C29" s="15">
        <v>1.5</v>
      </c>
      <c r="D29" s="15">
        <v>5.3</v>
      </c>
      <c r="E29" s="15">
        <v>4.9000000000000004</v>
      </c>
      <c r="F29" s="14"/>
      <c r="G29" s="14"/>
      <c r="H29" s="14">
        <f>COUNTIF(B6:B42,E29)</f>
        <v>1</v>
      </c>
      <c r="I29" s="14"/>
      <c r="J29" s="14"/>
      <c r="K29" s="14">
        <f t="shared" si="9"/>
        <v>37</v>
      </c>
      <c r="L29" s="14"/>
      <c r="M29" s="14"/>
      <c r="N29" s="14">
        <f>(E29-AA5)^2</f>
        <v>5.0200219138056994</v>
      </c>
      <c r="O29" s="14"/>
      <c r="P29" s="14"/>
      <c r="Q29" s="14">
        <f>(E29-AA5)^3</f>
        <v>11.247562612283582</v>
      </c>
      <c r="R29" s="14"/>
      <c r="S29" s="14"/>
      <c r="T29" s="14">
        <f>(E29-AA5)^4</f>
        <v>25.200620015089438</v>
      </c>
      <c r="U29" s="14"/>
      <c r="V29" s="14"/>
      <c r="W29" s="15">
        <f t="shared" si="0"/>
        <v>-2.0189189189189189</v>
      </c>
      <c r="X29" s="15">
        <f t="shared" si="1"/>
        <v>0.32162162162162211</v>
      </c>
    </row>
    <row r="30" spans="1:29">
      <c r="A30" s="14">
        <v>1981</v>
      </c>
      <c r="B30" s="15">
        <v>2.8</v>
      </c>
      <c r="C30" s="15">
        <v>5.0999999999999996</v>
      </c>
      <c r="D30" s="15">
        <v>5.7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>
        <f t="shared" si="0"/>
        <v>1.5810810810810807</v>
      </c>
      <c r="X30" s="15">
        <f t="shared" si="1"/>
        <v>0.72162162162162247</v>
      </c>
    </row>
    <row r="31" spans="1:29">
      <c r="A31" s="14">
        <v>1982</v>
      </c>
      <c r="B31" s="15">
        <v>2.9</v>
      </c>
      <c r="C31" s="15">
        <v>3.9</v>
      </c>
      <c r="D31" s="15">
        <v>5.8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>
        <f t="shared" si="0"/>
        <v>0.38108108108108096</v>
      </c>
      <c r="X31" s="15">
        <f t="shared" si="1"/>
        <v>0.82162162162162211</v>
      </c>
    </row>
    <row r="32" spans="1:29">
      <c r="A32" s="14">
        <v>1983</v>
      </c>
      <c r="B32" s="15">
        <v>3.8</v>
      </c>
      <c r="C32" s="15">
        <v>4.5</v>
      </c>
      <c r="D32" s="15">
        <v>4.5999999999999996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5">
        <f t="shared" si="0"/>
        <v>0.98108108108108105</v>
      </c>
      <c r="X32" s="15">
        <f t="shared" si="1"/>
        <v>-0.37837837837837807</v>
      </c>
    </row>
    <row r="33" spans="1:25">
      <c r="A33" s="14">
        <v>1984</v>
      </c>
      <c r="B33" s="15">
        <v>2</v>
      </c>
      <c r="C33" s="15">
        <v>4.5</v>
      </c>
      <c r="D33" s="15">
        <v>4.9000000000000004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5">
        <f t="shared" si="0"/>
        <v>0.98108108108108105</v>
      </c>
      <c r="X33" s="15">
        <f t="shared" si="1"/>
        <v>-7.8378378378377356E-2</v>
      </c>
    </row>
    <row r="34" spans="1:25">
      <c r="A34" s="14">
        <v>1985</v>
      </c>
      <c r="B34" s="15">
        <v>1.9</v>
      </c>
      <c r="C34" s="15">
        <v>2.9</v>
      </c>
      <c r="D34" s="15">
        <v>3.6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5">
        <f t="shared" si="0"/>
        <v>-0.61891891891891904</v>
      </c>
      <c r="X34" s="15">
        <f t="shared" si="1"/>
        <v>-1.3783783783783776</v>
      </c>
    </row>
    <row r="35" spans="1:25">
      <c r="A35" s="14">
        <v>1986</v>
      </c>
      <c r="B35" s="15">
        <v>4.5999999999999996</v>
      </c>
      <c r="C35" s="15">
        <v>4.0999999999999996</v>
      </c>
      <c r="D35" s="15">
        <v>5.4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5">
        <f t="shared" si="0"/>
        <v>0.5810810810810807</v>
      </c>
      <c r="X35" s="15">
        <f t="shared" si="1"/>
        <v>0.42162162162162264</v>
      </c>
    </row>
    <row r="36" spans="1:25">
      <c r="A36" s="14">
        <v>1987</v>
      </c>
      <c r="B36" s="15">
        <v>1.1000000000000001</v>
      </c>
      <c r="C36" s="15">
        <v>2.8</v>
      </c>
      <c r="D36" s="15">
        <v>5.4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5">
        <f t="shared" si="0"/>
        <v>-0.71891891891891913</v>
      </c>
      <c r="X36" s="15">
        <f t="shared" si="1"/>
        <v>0.42162162162162264</v>
      </c>
    </row>
    <row r="37" spans="1:25">
      <c r="A37" s="14">
        <v>1988</v>
      </c>
      <c r="B37" s="15">
        <v>2.4</v>
      </c>
      <c r="C37" s="15">
        <v>3.2</v>
      </c>
      <c r="D37" s="15">
        <v>5.0999999999999996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5">
        <f t="shared" si="0"/>
        <v>-0.31891891891891877</v>
      </c>
      <c r="X37" s="15">
        <f t="shared" si="1"/>
        <v>0.12162162162162193</v>
      </c>
      <c r="Y37" s="10"/>
    </row>
    <row r="38" spans="1:25">
      <c r="A38" s="14">
        <v>1989</v>
      </c>
      <c r="B38" s="15">
        <v>4.9000000000000004</v>
      </c>
      <c r="C38" s="15">
        <v>2.9</v>
      </c>
      <c r="D38" s="15">
        <v>4.7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  <c r="Q38" s="14"/>
      <c r="R38" s="14"/>
      <c r="S38" s="14"/>
      <c r="T38" s="14"/>
      <c r="U38" s="14"/>
      <c r="V38" s="14"/>
      <c r="W38" s="15">
        <f t="shared" si="0"/>
        <v>-0.61891891891891904</v>
      </c>
      <c r="X38" s="15">
        <f t="shared" si="1"/>
        <v>-0.27837837837837753</v>
      </c>
      <c r="Y38" s="10"/>
    </row>
    <row r="39" spans="1:25">
      <c r="A39" s="14">
        <v>1990</v>
      </c>
      <c r="B39" s="15">
        <v>1.5</v>
      </c>
      <c r="C39" s="15">
        <v>5.0999999999999996</v>
      </c>
      <c r="D39" s="15">
        <v>3.8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  <c r="Q39" s="14"/>
      <c r="R39" s="14"/>
      <c r="S39" s="14"/>
      <c r="T39" s="14"/>
      <c r="U39" s="14"/>
      <c r="V39" s="14"/>
      <c r="W39" s="15">
        <f t="shared" si="0"/>
        <v>1.5810810810810807</v>
      </c>
      <c r="X39" s="15">
        <f t="shared" si="1"/>
        <v>-1.1783783783783779</v>
      </c>
      <c r="Y39" s="10"/>
    </row>
    <row r="40" spans="1:25">
      <c r="A40" s="14">
        <v>1991</v>
      </c>
      <c r="B40" s="15">
        <v>2.2000000000000002</v>
      </c>
      <c r="C40" s="15">
        <v>4.5999999999999996</v>
      </c>
      <c r="D40" s="15">
        <v>4.8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  <c r="Q40" s="14"/>
      <c r="R40" s="14"/>
      <c r="S40" s="14"/>
      <c r="T40" s="14"/>
      <c r="U40" s="14"/>
      <c r="V40" s="14"/>
      <c r="W40" s="15">
        <f t="shared" si="0"/>
        <v>1.0810810810810807</v>
      </c>
      <c r="X40" s="15">
        <f t="shared" si="1"/>
        <v>-0.17837837837837789</v>
      </c>
      <c r="Y40" s="10"/>
    </row>
    <row r="41" spans="1:25">
      <c r="A41" s="14">
        <v>1992</v>
      </c>
      <c r="B41" s="15">
        <v>1.6</v>
      </c>
      <c r="C41" s="15">
        <v>2.5</v>
      </c>
      <c r="D41" s="15">
        <v>4.5999999999999996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5">
        <f t="shared" si="0"/>
        <v>-1.0189189189189189</v>
      </c>
      <c r="X41" s="15">
        <f t="shared" si="1"/>
        <v>-0.37837837837837807</v>
      </c>
      <c r="Y41" s="10"/>
    </row>
    <row r="42" spans="1:25">
      <c r="A42" s="14">
        <v>1993</v>
      </c>
      <c r="B42" s="15">
        <v>1.3</v>
      </c>
      <c r="C42" s="15">
        <v>3.5</v>
      </c>
      <c r="D42" s="15">
        <v>5.9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5"/>
      <c r="Q42" s="14"/>
      <c r="R42" s="14"/>
      <c r="S42" s="14"/>
      <c r="T42" s="14"/>
      <c r="U42" s="14"/>
      <c r="V42" s="14"/>
      <c r="W42" s="15">
        <f t="shared" si="0"/>
        <v>-1.8918918918918948E-2</v>
      </c>
      <c r="X42" s="15">
        <f t="shared" si="1"/>
        <v>0.92162162162162264</v>
      </c>
      <c r="Y42" s="10"/>
    </row>
    <row r="43" spans="1:25">
      <c r="A43" s="16" t="s">
        <v>8</v>
      </c>
      <c r="B43" s="14"/>
      <c r="C43" s="14"/>
      <c r="D43" s="14"/>
      <c r="E43" s="14">
        <f>COUNT(E6:E29)</f>
        <v>24</v>
      </c>
      <c r="F43" s="14">
        <f>COUNT(F6:F29)</f>
        <v>23</v>
      </c>
      <c r="G43" s="14">
        <f>COUNT(G6:G29)</f>
        <v>23</v>
      </c>
      <c r="H43" s="14">
        <f>SUM(H6:H42)</f>
        <v>37</v>
      </c>
      <c r="I43" s="14">
        <f>SUM(I6:I42)</f>
        <v>37</v>
      </c>
      <c r="J43" s="14">
        <f>SUM(J6:J28)</f>
        <v>37</v>
      </c>
      <c r="K43" s="14"/>
      <c r="L43" s="14"/>
      <c r="M43" s="14"/>
      <c r="N43" s="14"/>
      <c r="O43" s="14"/>
      <c r="P43" s="15"/>
      <c r="Q43" s="14"/>
      <c r="R43" s="14"/>
      <c r="S43" s="14"/>
      <c r="T43" s="14"/>
      <c r="U43" s="14"/>
      <c r="V43" s="14"/>
      <c r="W43" s="14"/>
      <c r="X43" s="15"/>
      <c r="Y43" s="10"/>
    </row>
    <row r="44" spans="1:25">
      <c r="P44" s="10"/>
      <c r="X44" s="10"/>
      <c r="Y44" s="10"/>
    </row>
    <row r="45" spans="1:25">
      <c r="A45" s="1"/>
      <c r="J45" s="1"/>
      <c r="P45" s="10"/>
      <c r="X45" s="10"/>
      <c r="Y45" s="10"/>
    </row>
    <row r="46" spans="1:25">
      <c r="P46" s="10"/>
      <c r="X46" s="10"/>
      <c r="Y46" s="10"/>
    </row>
    <row r="47" spans="1:25">
      <c r="X47" s="10"/>
      <c r="Y47" s="10"/>
    </row>
    <row r="48" spans="1:25">
      <c r="X48" s="10"/>
      <c r="Y48" s="10"/>
    </row>
    <row r="49" spans="16:25">
      <c r="X49" s="10"/>
      <c r="Y49" s="10"/>
    </row>
    <row r="50" spans="16:25">
      <c r="X50" s="10"/>
      <c r="Y50" s="10"/>
    </row>
    <row r="51" spans="16:25">
      <c r="X51" s="10"/>
      <c r="Y51" s="10"/>
    </row>
    <row r="52" spans="16:25">
      <c r="X52" s="10"/>
      <c r="Y52" s="10"/>
    </row>
    <row r="53" spans="16:25">
      <c r="X53" s="10"/>
      <c r="Y53" s="10"/>
    </row>
    <row r="54" spans="16:25" ht="13.8" customHeight="1">
      <c r="X54" s="10"/>
      <c r="Y54" s="10"/>
    </row>
    <row r="55" spans="16:25" ht="31.2" customHeight="1">
      <c r="X55" s="10"/>
      <c r="Y55" s="10"/>
    </row>
    <row r="56" spans="16:25" ht="24.6" customHeight="1">
      <c r="X56" s="10"/>
      <c r="Y56" s="10"/>
    </row>
    <row r="57" spans="16:25">
      <c r="X57" s="10"/>
      <c r="Y57" s="10"/>
    </row>
    <row r="58" spans="16:25">
      <c r="X58" s="10"/>
      <c r="Y58" s="10"/>
    </row>
    <row r="59" spans="16:25">
      <c r="P59" s="10"/>
      <c r="X59" s="10"/>
      <c r="Y59" s="10"/>
    </row>
    <row r="60" spans="16:25">
      <c r="P60" s="10"/>
      <c r="X60" s="10"/>
      <c r="Y60" s="10"/>
    </row>
    <row r="61" spans="16:25">
      <c r="X61" s="10"/>
      <c r="Y61" s="10"/>
    </row>
    <row r="62" spans="16:25">
      <c r="X62" s="10"/>
      <c r="Y62" s="10"/>
    </row>
    <row r="63" spans="16:25">
      <c r="X63" s="10"/>
      <c r="Y63" s="10"/>
    </row>
    <row r="64" spans="16:25">
      <c r="X64" s="10"/>
      <c r="Y64" s="10"/>
    </row>
    <row r="65" spans="24:25">
      <c r="X65" s="10"/>
      <c r="Y65" s="10"/>
    </row>
    <row r="66" spans="24:25">
      <c r="X66" s="10"/>
      <c r="Y66" s="10"/>
    </row>
    <row r="67" spans="24:25">
      <c r="X67" s="10"/>
      <c r="Y67" s="10"/>
    </row>
    <row r="68" spans="24:25">
      <c r="X68" s="10"/>
      <c r="Y68" s="10"/>
    </row>
    <row r="69" spans="24:25">
      <c r="X69" s="10"/>
      <c r="Y69" s="10"/>
    </row>
    <row r="70" spans="24:25">
      <c r="X70" s="10"/>
      <c r="Y70" s="10"/>
    </row>
    <row r="71" spans="24:25">
      <c r="X71" s="10"/>
      <c r="Y71" s="10"/>
    </row>
    <row r="72" spans="24:25">
      <c r="X72" s="10"/>
      <c r="Y72" s="10"/>
    </row>
    <row r="73" spans="24:25">
      <c r="X73" s="10"/>
      <c r="Y73" s="10"/>
    </row>
    <row r="74" spans="24:25">
      <c r="X74" s="10"/>
    </row>
  </sheetData>
  <sortState ref="G6:G42">
    <sortCondition ref="G6"/>
  </sortState>
  <mergeCells count="20">
    <mergeCell ref="X4:X5"/>
    <mergeCell ref="W4:W5"/>
    <mergeCell ref="A4:A5"/>
    <mergeCell ref="B4:B5"/>
    <mergeCell ref="C4:C5"/>
    <mergeCell ref="D4:D5"/>
    <mergeCell ref="H4:J4"/>
    <mergeCell ref="E4:E5"/>
    <mergeCell ref="F4:F5"/>
    <mergeCell ref="G4:G5"/>
    <mergeCell ref="O4:O5"/>
    <mergeCell ref="P4:P5"/>
    <mergeCell ref="U4:U5"/>
    <mergeCell ref="V4:V5"/>
    <mergeCell ref="K4:M4"/>
    <mergeCell ref="Q4:Q5"/>
    <mergeCell ref="R4:R5"/>
    <mergeCell ref="S4:S5"/>
    <mergeCell ref="T4:T5"/>
    <mergeCell ref="N4:N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8"/>
  <sheetViews>
    <sheetView tabSelected="1" workbookViewId="0">
      <selection activeCell="H11" sqref="H11:H12"/>
    </sheetView>
  </sheetViews>
  <sheetFormatPr defaultRowHeight="14.4"/>
  <cols>
    <col min="2" max="2" width="11.88671875" customWidth="1"/>
    <col min="5" max="5" width="15.5546875" customWidth="1"/>
    <col min="7" max="7" width="16" customWidth="1"/>
    <col min="16" max="16" width="23.6640625" customWidth="1"/>
  </cols>
  <sheetData>
    <row r="1" spans="1:18" ht="37.799999999999997" customHeight="1">
      <c r="A1" s="5" t="s">
        <v>48</v>
      </c>
      <c r="P1" s="10"/>
    </row>
    <row r="2" spans="1:18">
      <c r="P2" s="10"/>
      <c r="Q2" s="4"/>
      <c r="R2" s="4"/>
    </row>
    <row r="3" spans="1:18">
      <c r="A3" s="12" t="s">
        <v>25</v>
      </c>
      <c r="B3" s="12"/>
      <c r="C3" s="12"/>
      <c r="D3" s="12"/>
      <c r="E3" s="12"/>
      <c r="F3" s="12"/>
      <c r="G3" s="12"/>
      <c r="H3" s="12"/>
      <c r="I3" s="12"/>
      <c r="J3" s="1"/>
      <c r="P3" s="10"/>
      <c r="Q3" s="6"/>
      <c r="R3" s="6"/>
    </row>
    <row r="4" spans="1:18" ht="15.6">
      <c r="A4" s="12" t="s">
        <v>26</v>
      </c>
      <c r="B4" s="12"/>
      <c r="C4" s="1">
        <f>SQRT(1/'Выборочные характеристики'!J43*SUMPRODUCT('Выборочные характеристики'!O6:O28,'Выборочные характеристики'!I6:I28))</f>
        <v>0.91764617742317856</v>
      </c>
      <c r="D4" s="12" t="s">
        <v>27</v>
      </c>
      <c r="E4" s="12"/>
      <c r="F4" s="1">
        <f>SQRT(1/'Выборочные характеристики'!J43*SUMPRODUCT('Выборочные характеристики'!J6:J28,'Выборочные характеристики'!P6:P28))</f>
        <v>0.76055994135726768</v>
      </c>
      <c r="G4" s="12" t="s">
        <v>28</v>
      </c>
      <c r="H4" s="12"/>
      <c r="I4" s="12">
        <f>1/'Выборочные характеристики'!H43 * SUMPRODUCT('Выборочные характеристики'!W6:W42,'Выборочные характеристики'!X6:X42)</f>
        <v>6.2571219868517131E-2</v>
      </c>
      <c r="J4" s="12"/>
      <c r="L4" s="1" t="s">
        <v>46</v>
      </c>
      <c r="P4" s="10"/>
    </row>
    <row r="5" spans="1:18">
      <c r="A5" s="12" t="s">
        <v>29</v>
      </c>
      <c r="B5" s="12"/>
      <c r="C5" s="1">
        <f>STDEVP('Выборочные характеристики'!C6:C42)</f>
        <v>0.91764617742317978</v>
      </c>
      <c r="D5" s="12" t="s">
        <v>30</v>
      </c>
      <c r="E5" s="12"/>
      <c r="F5" s="1">
        <f>STDEVP('Выборочные характеристики'!D6:D42)</f>
        <v>0.76055994135726479</v>
      </c>
      <c r="G5" s="12" t="s">
        <v>31</v>
      </c>
      <c r="H5" s="12"/>
      <c r="I5" s="12">
        <f>COVAR('Выборочные характеристики'!C6:C42,'Выборочные характеристики'!D6:D42)</f>
        <v>6.2571219868517117E-2</v>
      </c>
      <c r="J5" s="12"/>
      <c r="P5" s="10"/>
    </row>
    <row r="6" spans="1:18">
      <c r="A6" s="12" t="s">
        <v>32</v>
      </c>
      <c r="B6" s="12"/>
      <c r="C6" s="12"/>
      <c r="D6" s="12"/>
      <c r="E6" s="12"/>
      <c r="F6" s="12"/>
      <c r="G6" s="12"/>
      <c r="H6" s="12"/>
      <c r="I6" s="12"/>
      <c r="J6" s="12"/>
      <c r="P6" s="10"/>
    </row>
    <row r="7" spans="1:18">
      <c r="A7" s="13" t="s">
        <v>33</v>
      </c>
      <c r="B7" s="13"/>
      <c r="C7" s="11" t="s">
        <v>34</v>
      </c>
      <c r="D7" s="11"/>
      <c r="E7" s="11"/>
      <c r="F7" s="11"/>
      <c r="G7" s="11"/>
      <c r="H7" s="11"/>
      <c r="I7" s="11" t="s">
        <v>20</v>
      </c>
      <c r="J7" s="11"/>
      <c r="P7" s="10"/>
    </row>
    <row r="8" spans="1:18">
      <c r="A8" s="13"/>
      <c r="B8" s="13"/>
      <c r="C8" s="11"/>
      <c r="D8" s="11"/>
      <c r="E8" s="11"/>
      <c r="F8" s="11"/>
      <c r="G8" s="11"/>
      <c r="H8" s="11"/>
      <c r="I8" s="11"/>
      <c r="J8" s="11"/>
      <c r="P8" s="10"/>
    </row>
    <row r="9" spans="1:18" ht="15.6">
      <c r="A9" s="1" t="s">
        <v>35</v>
      </c>
      <c r="B9">
        <f>I4/(C4*F4)</f>
        <v>8.9653224604196821E-2</v>
      </c>
      <c r="C9" s="11" t="s">
        <v>37</v>
      </c>
      <c r="D9" s="12">
        <f>SQRT((1-B9^2)/('Выборочные характеристики'!H43-2))</f>
        <v>0.16835017071721747</v>
      </c>
      <c r="E9" s="11" t="s">
        <v>38</v>
      </c>
      <c r="F9" s="12">
        <f>B9/D9</f>
        <v>0.53254014666126992</v>
      </c>
      <c r="G9" s="1" t="s">
        <v>39</v>
      </c>
      <c r="H9">
        <v>2.44</v>
      </c>
      <c r="I9" s="13" t="s">
        <v>47</v>
      </c>
      <c r="J9" s="12"/>
      <c r="P9" s="10"/>
    </row>
    <row r="10" spans="1:18">
      <c r="A10" s="1" t="s">
        <v>36</v>
      </c>
      <c r="B10">
        <f>PEARSON('Выборочные характеристики'!C6:C42,'Выборочные характеристики'!D6:D42)</f>
        <v>8.9653224604196807E-2</v>
      </c>
      <c r="C10" s="11"/>
      <c r="D10" s="12"/>
      <c r="E10" s="11"/>
      <c r="F10" s="12"/>
      <c r="G10" s="1" t="s">
        <v>40</v>
      </c>
      <c r="H10">
        <f>TINV(0.02,35)</f>
        <v>2.4377225276433396</v>
      </c>
      <c r="I10" s="12"/>
      <c r="J10" s="12"/>
      <c r="P10" s="10"/>
    </row>
    <row r="11" spans="1:18">
      <c r="A11" s="3"/>
      <c r="B11" s="3">
        <f>(EXP(2*D11)-1)/(EXP(2*D11)+1)</f>
        <v>5.7606158875371502E-2</v>
      </c>
      <c r="C11" s="1" t="s">
        <v>41</v>
      </c>
      <c r="D11">
        <f>0.5*LN((1+B9)/(1-B9))-H11/SQRT('Выборочные характеристики'!H43-3)</f>
        <v>5.7670007479310899E-2</v>
      </c>
      <c r="E11" s="11" t="s">
        <v>43</v>
      </c>
      <c r="F11" s="12">
        <v>0.98</v>
      </c>
      <c r="G11" s="11" t="s">
        <v>44</v>
      </c>
      <c r="H11" s="12">
        <v>0.18790000000000001</v>
      </c>
      <c r="I11" s="13" t="s">
        <v>45</v>
      </c>
      <c r="J11" s="12"/>
      <c r="P11" s="10"/>
    </row>
    <row r="12" spans="1:18">
      <c r="A12" s="3"/>
      <c r="B12" s="3">
        <f>(EXP(2*D12)-1)/(EXP(2*D12)+1)</f>
        <v>0.12151571708243855</v>
      </c>
      <c r="C12" s="1" t="s">
        <v>42</v>
      </c>
      <c r="D12">
        <f>0.5*LN((1+B9)/(1-B9))+H11/SQRT('Выборочные характеристики'!H43-3)</f>
        <v>0.12211917577586573</v>
      </c>
      <c r="E12" s="11"/>
      <c r="F12" s="12"/>
      <c r="G12" s="11"/>
      <c r="H12" s="12"/>
      <c r="I12" s="12"/>
      <c r="J12" s="12"/>
      <c r="P12" s="10"/>
    </row>
    <row r="13" spans="1:18">
      <c r="A13" s="1"/>
      <c r="B13" s="2"/>
      <c r="C13" s="2"/>
      <c r="D13" s="2"/>
      <c r="E13" s="2"/>
      <c r="F13" s="1"/>
      <c r="G13" s="1"/>
      <c r="H13" s="1"/>
      <c r="I13" s="1"/>
      <c r="J13" s="8"/>
      <c r="K13" s="8"/>
      <c r="L13" s="7"/>
      <c r="M13" s="7"/>
    </row>
    <row r="14" spans="1:18">
      <c r="A14" s="1"/>
      <c r="B14" s="2"/>
      <c r="C14" s="2"/>
      <c r="D14" s="2"/>
      <c r="E14" s="2"/>
      <c r="F14" s="1"/>
      <c r="G14" s="1"/>
      <c r="H14" s="1"/>
      <c r="I14" s="1"/>
      <c r="J14" s="8"/>
      <c r="K14" s="8"/>
      <c r="L14" s="7"/>
      <c r="M14" s="7"/>
    </row>
    <row r="15" spans="1:18">
      <c r="A15" s="1"/>
      <c r="B15" s="2"/>
      <c r="C15" s="2"/>
      <c r="D15" s="2"/>
      <c r="E15" s="2"/>
      <c r="F15" s="1"/>
      <c r="G15" s="1"/>
      <c r="H15" s="1"/>
      <c r="I15" s="1"/>
      <c r="J15" s="8"/>
      <c r="K15" s="8"/>
      <c r="L15" s="7"/>
      <c r="M15" s="7"/>
    </row>
    <row r="16" spans="1:18">
      <c r="A16" s="1"/>
      <c r="B16" s="2"/>
      <c r="C16" s="2"/>
      <c r="D16" s="2"/>
      <c r="E16" s="2"/>
      <c r="F16" s="1"/>
      <c r="G16" s="1"/>
      <c r="H16" s="1"/>
      <c r="I16" s="1"/>
      <c r="J16" s="8"/>
      <c r="K16" s="8"/>
      <c r="L16" s="7"/>
      <c r="M16" s="7"/>
    </row>
    <row r="17" spans="1:13">
      <c r="A17" s="1"/>
      <c r="B17" s="2"/>
      <c r="C17" s="2"/>
      <c r="D17" s="2"/>
      <c r="E17" s="2"/>
      <c r="F17" s="1"/>
      <c r="G17" s="1"/>
      <c r="H17" s="1"/>
      <c r="I17" s="1"/>
      <c r="J17" s="8"/>
      <c r="K17" s="8"/>
      <c r="L17" s="7"/>
      <c r="M17" s="7"/>
    </row>
    <row r="18" spans="1:13">
      <c r="A18" s="1"/>
      <c r="B18" s="2"/>
      <c r="C18" s="2"/>
      <c r="D18" s="2"/>
      <c r="E18" s="2"/>
      <c r="F18" s="1"/>
      <c r="G18" s="1"/>
      <c r="H18" s="1"/>
      <c r="I18" s="1"/>
      <c r="J18" s="8"/>
      <c r="K18" s="8"/>
      <c r="L18" s="7"/>
      <c r="M18" s="7"/>
    </row>
    <row r="19" spans="1:13">
      <c r="A19" s="1"/>
      <c r="B19" s="2"/>
      <c r="C19" s="2"/>
      <c r="D19" s="2"/>
      <c r="E19" s="2"/>
      <c r="F19" s="1"/>
      <c r="G19" s="1"/>
      <c r="H19" s="1"/>
      <c r="I19" s="1"/>
      <c r="J19" s="8"/>
      <c r="K19" s="8"/>
      <c r="L19" s="7"/>
      <c r="M19" s="7"/>
    </row>
    <row r="20" spans="1:13">
      <c r="A20" s="1"/>
      <c r="B20" s="2"/>
      <c r="C20" s="2"/>
      <c r="D20" s="2"/>
      <c r="E20" s="2"/>
      <c r="F20" s="1"/>
      <c r="G20" s="1"/>
      <c r="H20" s="1"/>
      <c r="I20" s="1"/>
      <c r="J20" s="8"/>
      <c r="K20" s="8"/>
      <c r="L20" s="7"/>
      <c r="M20" s="7"/>
    </row>
    <row r="21" spans="1:13">
      <c r="A21" s="1"/>
      <c r="B21" s="2"/>
      <c r="C21" s="2"/>
      <c r="D21" s="2"/>
      <c r="E21" s="2"/>
      <c r="F21" s="1"/>
      <c r="G21" s="1"/>
      <c r="H21" s="1"/>
      <c r="I21" s="1"/>
      <c r="J21" s="8"/>
      <c r="K21" s="8"/>
      <c r="L21" s="7"/>
      <c r="M21" s="7"/>
    </row>
    <row r="22" spans="1:13">
      <c r="A22" s="1"/>
      <c r="B22" s="2"/>
      <c r="C22" s="2"/>
      <c r="D22" s="2"/>
      <c r="E22" s="2"/>
      <c r="F22" s="1"/>
      <c r="G22" s="1"/>
      <c r="H22" s="1"/>
      <c r="I22" s="1"/>
      <c r="J22" s="8"/>
      <c r="K22" s="8"/>
      <c r="L22" s="7"/>
      <c r="M22" s="7"/>
    </row>
    <row r="23" spans="1:13">
      <c r="A23" s="1"/>
      <c r="B23" s="2"/>
      <c r="C23" s="2"/>
      <c r="D23" s="2"/>
      <c r="E23" s="2"/>
      <c r="F23" s="1"/>
      <c r="G23" s="1"/>
      <c r="H23" s="1"/>
      <c r="I23" s="1"/>
      <c r="J23" s="8"/>
      <c r="K23" s="8"/>
      <c r="L23" s="7"/>
      <c r="M23" s="7"/>
    </row>
    <row r="24" spans="1:13">
      <c r="A24" s="1"/>
      <c r="B24" s="2"/>
      <c r="C24" s="2"/>
      <c r="D24" s="2"/>
      <c r="E24" s="2"/>
      <c r="F24" s="1"/>
      <c r="G24" s="1"/>
      <c r="H24" s="1"/>
      <c r="I24" s="1"/>
      <c r="J24" s="8"/>
      <c r="K24" s="8"/>
      <c r="L24" s="7"/>
      <c r="M24" s="7"/>
    </row>
    <row r="25" spans="1:13">
      <c r="A25" s="1"/>
      <c r="B25" s="2"/>
      <c r="C25" s="2"/>
      <c r="D25" s="2"/>
      <c r="E25" s="2"/>
      <c r="F25" s="1"/>
      <c r="G25" s="1"/>
      <c r="H25" s="1"/>
      <c r="I25" s="1"/>
      <c r="J25" s="8"/>
      <c r="K25" s="8"/>
      <c r="L25" s="7"/>
      <c r="M25" s="7"/>
    </row>
    <row r="26" spans="1:13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  <c r="L26" s="2"/>
      <c r="M26" s="2"/>
    </row>
    <row r="27" spans="1:13">
      <c r="A27" s="1"/>
      <c r="B27" s="2"/>
      <c r="C27" s="2"/>
      <c r="D27" s="1"/>
      <c r="E27" s="1"/>
      <c r="F27" s="1"/>
      <c r="G27" s="1"/>
      <c r="H27" s="1"/>
      <c r="I27" s="1"/>
      <c r="J27" s="1"/>
      <c r="K27" s="1"/>
      <c r="L27" s="2"/>
      <c r="M27" s="2"/>
    </row>
    <row r="28" spans="1:13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2"/>
      <c r="M28" s="2"/>
    </row>
    <row r="29" spans="1:13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2"/>
      <c r="M29" s="2"/>
    </row>
    <row r="30" spans="1:13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2"/>
      <c r="M30" s="2"/>
    </row>
    <row r="31" spans="1:13">
      <c r="A31" s="1"/>
      <c r="B31" s="2"/>
      <c r="C31" s="2"/>
      <c r="D31" s="1"/>
      <c r="E31" s="1"/>
      <c r="F31" s="1"/>
      <c r="G31" s="1"/>
      <c r="H31" s="1"/>
      <c r="I31" s="1"/>
      <c r="J31" s="1"/>
      <c r="K31" s="1"/>
      <c r="L31" s="2"/>
      <c r="M31" s="2"/>
    </row>
    <row r="32" spans="1:13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2"/>
      <c r="M32" s="2"/>
    </row>
    <row r="33" spans="1:18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2"/>
      <c r="M33" s="2"/>
    </row>
    <row r="34" spans="1:18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2"/>
      <c r="M34" s="2"/>
    </row>
    <row r="35" spans="1:18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2"/>
      <c r="M35" s="2"/>
    </row>
    <row r="36" spans="1:18">
      <c r="A36" s="1"/>
      <c r="B36" s="2"/>
      <c r="C36" s="2"/>
      <c r="D36" s="1"/>
      <c r="E36" s="1"/>
      <c r="F36" s="1"/>
      <c r="G36" s="1"/>
      <c r="H36" s="1"/>
      <c r="I36" s="1"/>
      <c r="J36" s="1"/>
      <c r="K36" s="1"/>
      <c r="L36" s="2"/>
      <c r="M36" s="2"/>
    </row>
    <row r="37" spans="1:18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2"/>
      <c r="M37" s="2"/>
    </row>
    <row r="38" spans="1:18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2"/>
      <c r="M38" s="2"/>
    </row>
    <row r="39" spans="1:18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2"/>
      <c r="M39" s="2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9" spans="1:14">
      <c r="A49" s="12"/>
      <c r="B49" s="12"/>
      <c r="C49" s="12"/>
      <c r="D49" s="12"/>
      <c r="E49" s="12"/>
      <c r="F49" s="12"/>
      <c r="G49" s="12"/>
      <c r="H49" s="12"/>
      <c r="I49" s="12"/>
      <c r="J49" s="8"/>
      <c r="K49" s="8"/>
      <c r="L49" s="8"/>
      <c r="M49" s="8"/>
      <c r="N49" s="8"/>
    </row>
    <row r="50" spans="1:14">
      <c r="A50" s="12"/>
      <c r="B50" s="12"/>
      <c r="C50" s="8"/>
      <c r="D50" s="12"/>
      <c r="E50" s="12"/>
      <c r="F50" s="8"/>
      <c r="G50" s="12"/>
      <c r="H50" s="12"/>
      <c r="I50" s="12"/>
      <c r="J50" s="12"/>
      <c r="K50" s="8"/>
      <c r="L50" s="8"/>
      <c r="M50" s="8"/>
      <c r="N50" s="8"/>
    </row>
    <row r="51" spans="1:14">
      <c r="A51" s="12"/>
      <c r="B51" s="12"/>
      <c r="C51" s="8"/>
      <c r="D51" s="12"/>
      <c r="E51" s="12"/>
      <c r="F51" s="8"/>
      <c r="G51" s="12"/>
      <c r="H51" s="12"/>
      <c r="I51" s="12"/>
      <c r="J51" s="12"/>
      <c r="K51" s="8"/>
      <c r="L51" s="8"/>
      <c r="M51" s="8"/>
      <c r="N51" s="8"/>
    </row>
    <row r="52" spans="1: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8"/>
      <c r="L52" s="8"/>
      <c r="M52" s="8"/>
      <c r="N52" s="8"/>
    </row>
    <row r="53" spans="1:14">
      <c r="A53" s="13"/>
      <c r="B53" s="13"/>
      <c r="C53" s="11"/>
      <c r="D53" s="11"/>
      <c r="E53" s="11"/>
      <c r="F53" s="11"/>
      <c r="G53" s="11"/>
      <c r="H53" s="11"/>
      <c r="I53" s="11"/>
      <c r="J53" s="11"/>
      <c r="K53" s="8"/>
      <c r="L53" s="8"/>
      <c r="M53" s="8"/>
      <c r="N53" s="8"/>
    </row>
    <row r="54" spans="1:14">
      <c r="A54" s="13"/>
      <c r="B54" s="13"/>
      <c r="C54" s="11"/>
      <c r="D54" s="11"/>
      <c r="E54" s="11"/>
      <c r="F54" s="11"/>
      <c r="G54" s="11"/>
      <c r="H54" s="11"/>
      <c r="I54" s="11"/>
      <c r="J54" s="11"/>
      <c r="K54" s="8"/>
      <c r="L54" s="8"/>
      <c r="M54" s="8"/>
      <c r="N54" s="8"/>
    </row>
    <row r="55" spans="1:14">
      <c r="A55" s="8"/>
      <c r="B55" s="8"/>
      <c r="C55" s="11"/>
      <c r="D55" s="12"/>
      <c r="E55" s="11"/>
      <c r="F55" s="12"/>
      <c r="G55" s="8"/>
      <c r="H55" s="8"/>
      <c r="I55" s="12"/>
      <c r="J55" s="12"/>
      <c r="K55" s="8"/>
      <c r="L55" s="8"/>
      <c r="M55" s="8"/>
      <c r="N55" s="8"/>
    </row>
    <row r="56" spans="1:14">
      <c r="A56" s="8"/>
      <c r="B56" s="8"/>
      <c r="C56" s="11"/>
      <c r="D56" s="12"/>
      <c r="E56" s="11"/>
      <c r="F56" s="12"/>
      <c r="G56" s="8"/>
      <c r="H56" s="8"/>
      <c r="I56" s="12"/>
      <c r="J56" s="12"/>
      <c r="K56" s="8"/>
      <c r="L56" s="8"/>
      <c r="M56" s="8"/>
      <c r="N56" s="8"/>
    </row>
    <row r="57" spans="1:14">
      <c r="A57" s="9"/>
      <c r="B57" s="9"/>
      <c r="C57" s="8"/>
      <c r="D57" s="8"/>
      <c r="E57" s="11"/>
      <c r="F57" s="12"/>
      <c r="G57" s="11"/>
      <c r="H57" s="12"/>
      <c r="I57" s="13"/>
      <c r="J57" s="12"/>
      <c r="K57" s="8"/>
      <c r="L57" s="8"/>
      <c r="M57" s="8"/>
      <c r="N57" s="8"/>
    </row>
    <row r="58" spans="1:14">
      <c r="A58" s="9"/>
      <c r="B58" s="9"/>
      <c r="C58" s="8"/>
      <c r="D58" s="8"/>
      <c r="E58" s="11"/>
      <c r="F58" s="12"/>
      <c r="G58" s="11"/>
      <c r="H58" s="12"/>
      <c r="I58" s="12"/>
      <c r="J58" s="12"/>
      <c r="K58" s="8"/>
      <c r="L58" s="8"/>
      <c r="M58" s="8"/>
      <c r="N58" s="8"/>
    </row>
  </sheetData>
  <mergeCells count="46">
    <mergeCell ref="A51:B51"/>
    <mergeCell ref="D51:E51"/>
    <mergeCell ref="G51:H51"/>
    <mergeCell ref="I51:J51"/>
    <mergeCell ref="A49:I49"/>
    <mergeCell ref="A50:B50"/>
    <mergeCell ref="D50:E50"/>
    <mergeCell ref="G50:H50"/>
    <mergeCell ref="I50:J50"/>
    <mergeCell ref="A6:J6"/>
    <mergeCell ref="A7:B8"/>
    <mergeCell ref="H11:H12"/>
    <mergeCell ref="I11:J12"/>
    <mergeCell ref="E11:E12"/>
    <mergeCell ref="I7:J8"/>
    <mergeCell ref="I9:J10"/>
    <mergeCell ref="E57:E58"/>
    <mergeCell ref="F57:F58"/>
    <mergeCell ref="G57:G58"/>
    <mergeCell ref="H57:H58"/>
    <mergeCell ref="I57:J58"/>
    <mergeCell ref="A52:J52"/>
    <mergeCell ref="A53:B54"/>
    <mergeCell ref="C53:H54"/>
    <mergeCell ref="I53:J54"/>
    <mergeCell ref="C55:C56"/>
    <mergeCell ref="D55:D56"/>
    <mergeCell ref="E55:E56"/>
    <mergeCell ref="F55:F56"/>
    <mergeCell ref="I55:J56"/>
    <mergeCell ref="F11:F12"/>
    <mergeCell ref="G11:G12"/>
    <mergeCell ref="A3:I3"/>
    <mergeCell ref="A4:B4"/>
    <mergeCell ref="D4:E4"/>
    <mergeCell ref="G4:H4"/>
    <mergeCell ref="A5:B5"/>
    <mergeCell ref="D5:E5"/>
    <mergeCell ref="G5:H5"/>
    <mergeCell ref="I4:J4"/>
    <mergeCell ref="I5:J5"/>
    <mergeCell ref="C9:C10"/>
    <mergeCell ref="D9:D10"/>
    <mergeCell ref="E9:E10"/>
    <mergeCell ref="F9:F10"/>
    <mergeCell ref="C7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Выборочные характеристики</vt:lpstr>
      <vt:lpstr>Зависимость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Ангелина</dc:creator>
  <cp:lastModifiedBy>Ангелина</cp:lastModifiedBy>
  <dcterms:created xsi:type="dcterms:W3CDTF">2023-02-22T17:19:14Z</dcterms:created>
  <dcterms:modified xsi:type="dcterms:W3CDTF">2023-07-20T14:26:56Z</dcterms:modified>
</cp:coreProperties>
</file>